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870" windowWidth="18555" windowHeight="11760"/>
  </bookViews>
  <sheets>
    <sheet name="форма 2п" sheetId="1" r:id="rId1"/>
  </sheets>
  <definedNames>
    <definedName name="_xlnm.Print_Titles" localSheetId="0">'форма 2п'!$8:$11</definedName>
    <definedName name="_xlnm.Print_Area" localSheetId="0">'форма 2п'!$D$1:$V$121</definedName>
  </definedNames>
  <calcPr calcId="144525"/>
</workbook>
</file>

<file path=xl/calcChain.xml><?xml version="1.0" encoding="utf-8"?>
<calcChain xmlns="http://schemas.openxmlformats.org/spreadsheetml/2006/main">
  <c r="S102" i="1" l="1"/>
  <c r="T102" i="1" s="1"/>
  <c r="T81" i="1"/>
  <c r="U81" i="1"/>
  <c r="V81" i="1"/>
  <c r="T15" i="1"/>
  <c r="U15" i="1"/>
  <c r="V15" i="1"/>
  <c r="T16" i="1"/>
  <c r="U16" i="1"/>
  <c r="V16" i="1"/>
  <c r="T17" i="1"/>
  <c r="U17" i="1"/>
  <c r="V17" i="1"/>
  <c r="T18" i="1"/>
  <c r="U18" i="1"/>
  <c r="V18" i="1"/>
  <c r="T19" i="1"/>
  <c r="U19" i="1"/>
  <c r="V19" i="1"/>
  <c r="T24" i="1"/>
  <c r="U24" i="1"/>
  <c r="V24" i="1"/>
  <c r="T25" i="1"/>
  <c r="U25" i="1"/>
  <c r="V25" i="1"/>
  <c r="T26" i="1"/>
  <c r="U26" i="1"/>
  <c r="V26" i="1"/>
  <c r="T27" i="1"/>
  <c r="U27" i="1"/>
  <c r="V27" i="1"/>
  <c r="T28" i="1"/>
  <c r="U28" i="1"/>
  <c r="V28" i="1"/>
  <c r="T29" i="1"/>
  <c r="U29" i="1"/>
  <c r="V29" i="1"/>
  <c r="T30" i="1"/>
  <c r="U30" i="1"/>
  <c r="V30" i="1"/>
  <c r="T31" i="1"/>
  <c r="U31" i="1"/>
  <c r="V31" i="1"/>
  <c r="T33" i="1"/>
  <c r="U33" i="1"/>
  <c r="V33" i="1"/>
  <c r="T34" i="1"/>
  <c r="U34" i="1"/>
  <c r="V34" i="1"/>
  <c r="T35" i="1"/>
  <c r="U35" i="1"/>
  <c r="V35" i="1"/>
  <c r="T36" i="1"/>
  <c r="U36" i="1"/>
  <c r="V36" i="1"/>
  <c r="T37" i="1"/>
  <c r="U37" i="1"/>
  <c r="V37" i="1"/>
  <c r="T38" i="1"/>
  <c r="U38" i="1"/>
  <c r="V38" i="1"/>
  <c r="T40" i="1"/>
  <c r="U40" i="1"/>
  <c r="V40" i="1"/>
  <c r="T41" i="1"/>
  <c r="U41" i="1"/>
  <c r="V41" i="1"/>
  <c r="T42" i="1"/>
  <c r="U42" i="1"/>
  <c r="V42" i="1"/>
  <c r="T43" i="1"/>
  <c r="U43" i="1"/>
  <c r="V43" i="1"/>
  <c r="T44" i="1"/>
  <c r="U44" i="1"/>
  <c r="V44" i="1"/>
  <c r="T45" i="1"/>
  <c r="U45" i="1"/>
  <c r="V45" i="1"/>
  <c r="T46" i="1"/>
  <c r="U46" i="1"/>
  <c r="V46" i="1"/>
  <c r="T47" i="1"/>
  <c r="U47" i="1"/>
  <c r="V47" i="1"/>
  <c r="T49" i="1"/>
  <c r="U49" i="1"/>
  <c r="V49" i="1"/>
  <c r="T50" i="1"/>
  <c r="U50" i="1"/>
  <c r="V50" i="1"/>
  <c r="T51" i="1"/>
  <c r="U51" i="1"/>
  <c r="V51" i="1"/>
  <c r="T53" i="1"/>
  <c r="U53" i="1"/>
  <c r="V53" i="1"/>
  <c r="T54" i="1"/>
  <c r="U54" i="1"/>
  <c r="V54" i="1"/>
  <c r="T55" i="1"/>
  <c r="U55" i="1"/>
  <c r="V55" i="1"/>
  <c r="T56" i="1"/>
  <c r="U56" i="1"/>
  <c r="V56" i="1"/>
  <c r="T57" i="1"/>
  <c r="U57" i="1"/>
  <c r="V57" i="1"/>
  <c r="T58" i="1"/>
  <c r="U58" i="1"/>
  <c r="V58" i="1"/>
  <c r="T60" i="1"/>
  <c r="U60" i="1"/>
  <c r="V60" i="1"/>
  <c r="T61" i="1"/>
  <c r="U61" i="1"/>
  <c r="V61" i="1"/>
  <c r="T63" i="1"/>
  <c r="U63" i="1"/>
  <c r="V63" i="1"/>
  <c r="T64" i="1"/>
  <c r="U64" i="1"/>
  <c r="V64" i="1"/>
  <c r="T66" i="1"/>
  <c r="U66" i="1"/>
  <c r="V66" i="1"/>
  <c r="T67" i="1"/>
  <c r="U67" i="1"/>
  <c r="V67" i="1"/>
  <c r="T68" i="1"/>
  <c r="U68" i="1"/>
  <c r="V68" i="1"/>
  <c r="T70" i="1"/>
  <c r="U70" i="1"/>
  <c r="V70" i="1"/>
  <c r="T71" i="1"/>
  <c r="U71" i="1"/>
  <c r="V71" i="1"/>
  <c r="T72" i="1"/>
  <c r="U72" i="1"/>
  <c r="V72" i="1"/>
  <c r="T73" i="1"/>
  <c r="U73" i="1"/>
  <c r="V73" i="1"/>
  <c r="T74" i="1"/>
  <c r="U74" i="1"/>
  <c r="V74" i="1"/>
  <c r="T75" i="1"/>
  <c r="U75" i="1"/>
  <c r="V75" i="1"/>
  <c r="T77" i="1"/>
  <c r="U77" i="1"/>
  <c r="V77" i="1"/>
  <c r="T78" i="1"/>
  <c r="U78" i="1"/>
  <c r="V78" i="1"/>
  <c r="T79" i="1"/>
  <c r="U79" i="1"/>
  <c r="V79" i="1"/>
  <c r="T82" i="1"/>
  <c r="U82" i="1"/>
  <c r="V82" i="1"/>
  <c r="T84" i="1"/>
  <c r="U84" i="1"/>
  <c r="V84" i="1"/>
  <c r="T85" i="1"/>
  <c r="U85" i="1"/>
  <c r="V85" i="1"/>
  <c r="T86" i="1"/>
  <c r="U86" i="1"/>
  <c r="V86" i="1"/>
  <c r="T87" i="1"/>
  <c r="U87" i="1"/>
  <c r="V87" i="1"/>
  <c r="T88" i="1"/>
  <c r="U88" i="1"/>
  <c r="V88" i="1"/>
  <c r="T89" i="1"/>
  <c r="U89" i="1"/>
  <c r="V89" i="1"/>
  <c r="T90" i="1"/>
  <c r="U90" i="1"/>
  <c r="V90" i="1"/>
  <c r="T91" i="1"/>
  <c r="U91" i="1"/>
  <c r="V91" i="1"/>
  <c r="T92" i="1"/>
  <c r="U92" i="1"/>
  <c r="V92" i="1"/>
  <c r="T97" i="1"/>
  <c r="U97" i="1"/>
  <c r="V97" i="1"/>
  <c r="T98" i="1"/>
  <c r="U98" i="1"/>
  <c r="V98" i="1"/>
  <c r="T99" i="1"/>
  <c r="U99" i="1"/>
  <c r="V99" i="1"/>
  <c r="T100" i="1"/>
  <c r="U100" i="1"/>
  <c r="V100" i="1"/>
  <c r="T101" i="1"/>
  <c r="U101" i="1"/>
  <c r="V101" i="1"/>
  <c r="U102" i="1"/>
  <c r="V102" i="1"/>
  <c r="T104" i="1"/>
  <c r="U104" i="1"/>
  <c r="V104" i="1"/>
  <c r="T105" i="1"/>
  <c r="U105" i="1"/>
  <c r="V105" i="1"/>
  <c r="T106" i="1"/>
  <c r="U106" i="1"/>
  <c r="V106" i="1"/>
  <c r="T107" i="1"/>
  <c r="U107" i="1"/>
  <c r="V107" i="1"/>
  <c r="T108" i="1"/>
  <c r="U108" i="1"/>
  <c r="V108" i="1"/>
  <c r="T109" i="1"/>
  <c r="U109" i="1"/>
  <c r="V109" i="1"/>
  <c r="T110" i="1"/>
  <c r="U110" i="1"/>
  <c r="V110" i="1"/>
  <c r="T112" i="1"/>
  <c r="U112" i="1"/>
  <c r="V112" i="1"/>
  <c r="T113" i="1"/>
  <c r="U113" i="1"/>
  <c r="V113" i="1"/>
  <c r="T115" i="1"/>
  <c r="U115" i="1"/>
  <c r="V115" i="1"/>
  <c r="T116" i="1"/>
  <c r="U116" i="1"/>
  <c r="V116" i="1"/>
  <c r="T117" i="1"/>
  <c r="U117" i="1"/>
  <c r="V117" i="1"/>
  <c r="T118" i="1"/>
  <c r="U118" i="1"/>
  <c r="V118" i="1"/>
  <c r="V14" i="1"/>
  <c r="U14" i="1"/>
  <c r="T14" i="1"/>
  <c r="R109" i="1" l="1"/>
  <c r="R110" i="1" s="1"/>
  <c r="R104" i="1"/>
  <c r="R105" i="1" s="1"/>
  <c r="Q104" i="1"/>
  <c r="P104" i="1"/>
  <c r="P105" i="1" s="1"/>
  <c r="P109" i="1"/>
  <c r="P110" i="1" s="1"/>
  <c r="Q109" i="1"/>
  <c r="Q107" i="1"/>
  <c r="R107" i="1"/>
  <c r="P107" i="1"/>
  <c r="O101" i="1"/>
  <c r="R101" i="1" s="1"/>
  <c r="Q99" i="1"/>
  <c r="P99" i="1"/>
  <c r="R97" i="1"/>
  <c r="Q97" i="1"/>
  <c r="P97" i="1"/>
  <c r="P98" i="1" s="1"/>
  <c r="Q61" i="1"/>
  <c r="R61" i="1" s="1"/>
  <c r="R57" i="1"/>
  <c r="R58" i="1" s="1"/>
  <c r="Q57" i="1"/>
  <c r="P57" i="1"/>
  <c r="P58" i="1" s="1"/>
  <c r="R55" i="1"/>
  <c r="R56" i="1" s="1"/>
  <c r="Q55" i="1"/>
  <c r="P55" i="1"/>
  <c r="P56" i="1" s="1"/>
  <c r="R53" i="1"/>
  <c r="R54" i="1" s="1"/>
  <c r="Q53" i="1"/>
  <c r="P53" i="1"/>
  <c r="P54" i="1" s="1"/>
  <c r="R51" i="1"/>
  <c r="Q51" i="1"/>
  <c r="P51" i="1"/>
  <c r="R49" i="1"/>
  <c r="R50" i="1" s="1"/>
  <c r="Q49" i="1"/>
  <c r="P49" i="1"/>
  <c r="P50" i="1" s="1"/>
  <c r="R47" i="1"/>
  <c r="Q47" i="1"/>
  <c r="R46" i="1"/>
  <c r="Q46" i="1"/>
  <c r="R45" i="1"/>
  <c r="Q45" i="1"/>
  <c r="Q43" i="1"/>
  <c r="Q44" i="1"/>
  <c r="P45" i="1"/>
  <c r="P47" i="1"/>
  <c r="P46" i="1"/>
  <c r="R44" i="1"/>
  <c r="P44" i="1"/>
  <c r="R43" i="1"/>
  <c r="P43" i="1"/>
  <c r="R42" i="1"/>
  <c r="Q42" i="1"/>
  <c r="P42" i="1"/>
  <c r="R41" i="1"/>
  <c r="Q41" i="1"/>
  <c r="P41" i="1"/>
  <c r="R40" i="1"/>
  <c r="Q40" i="1"/>
  <c r="P40" i="1"/>
  <c r="R37" i="1"/>
  <c r="R38" i="1" s="1"/>
  <c r="Q37" i="1"/>
  <c r="P37" i="1"/>
  <c r="P38" i="1" s="1"/>
  <c r="R35" i="1"/>
  <c r="R36" i="1" s="1"/>
  <c r="Q35" i="1"/>
  <c r="P35" i="1"/>
  <c r="P36" i="1" s="1"/>
  <c r="R33" i="1"/>
  <c r="R34" i="1" s="1"/>
  <c r="Q33" i="1"/>
  <c r="P33" i="1"/>
  <c r="P34" i="1" s="1"/>
  <c r="R30" i="1"/>
  <c r="R31" i="1" s="1"/>
  <c r="Q30" i="1"/>
  <c r="P30" i="1"/>
  <c r="P31" i="1" s="1"/>
  <c r="R28" i="1"/>
  <c r="R29" i="1" s="1"/>
  <c r="Q28" i="1"/>
  <c r="P28" i="1"/>
  <c r="P29" i="1" s="1"/>
  <c r="R26" i="1"/>
  <c r="R27" i="1" s="1"/>
  <c r="Q26" i="1"/>
  <c r="P26" i="1"/>
  <c r="P27" i="1" s="1"/>
  <c r="Q24" i="1"/>
  <c r="R24" i="1"/>
  <c r="P14" i="1"/>
  <c r="Q14" i="1"/>
  <c r="P19" i="1"/>
  <c r="R102" i="1" l="1"/>
  <c r="P101" i="1"/>
  <c r="P102" i="1" s="1"/>
  <c r="R98" i="1"/>
  <c r="Q36" i="1"/>
  <c r="O102" i="1"/>
  <c r="R99" i="1"/>
  <c r="Q110" i="1"/>
  <c r="Q105" i="1"/>
  <c r="Q101" i="1"/>
  <c r="Q102" i="1" s="1"/>
  <c r="Q98" i="1"/>
  <c r="Q50" i="1"/>
  <c r="Q54" i="1"/>
  <c r="Q27" i="1"/>
  <c r="Q58" i="1"/>
  <c r="Q56" i="1"/>
  <c r="Q38" i="1"/>
  <c r="Q34" i="1"/>
  <c r="Q31" i="1"/>
  <c r="Q29" i="1"/>
  <c r="R19" i="1"/>
  <c r="R67" i="1"/>
  <c r="R68" i="1"/>
  <c r="R70" i="1"/>
  <c r="R71" i="1"/>
  <c r="R72" i="1"/>
  <c r="R73" i="1"/>
  <c r="R74" i="1"/>
  <c r="R75" i="1"/>
  <c r="R77" i="1"/>
  <c r="R78" i="1"/>
  <c r="R79" i="1"/>
  <c r="R81" i="1"/>
  <c r="R82" i="1"/>
  <c r="R84" i="1"/>
  <c r="R85" i="1"/>
  <c r="R86" i="1"/>
  <c r="R87" i="1"/>
  <c r="R88" i="1"/>
  <c r="R89" i="1"/>
  <c r="R90" i="1"/>
  <c r="R91" i="1"/>
  <c r="R92" i="1"/>
  <c r="R93" i="1"/>
  <c r="R94" i="1"/>
  <c r="R66" i="1"/>
  <c r="P67" i="1"/>
  <c r="P68" i="1"/>
  <c r="P70" i="1"/>
  <c r="P71" i="1"/>
  <c r="P72" i="1"/>
  <c r="P73" i="1"/>
  <c r="P74" i="1"/>
  <c r="P75" i="1"/>
  <c r="P77" i="1"/>
  <c r="P78" i="1"/>
  <c r="P79" i="1"/>
  <c r="P81" i="1"/>
  <c r="P82" i="1"/>
  <c r="P84" i="1"/>
  <c r="P85" i="1"/>
  <c r="P86" i="1"/>
  <c r="P87" i="1"/>
  <c r="P88" i="1"/>
  <c r="P89" i="1"/>
  <c r="P90" i="1"/>
  <c r="P91" i="1"/>
  <c r="P92" i="1"/>
  <c r="P93" i="1"/>
  <c r="P94" i="1"/>
  <c r="P66" i="1"/>
  <c r="Q118" i="1"/>
  <c r="R118" i="1" s="1"/>
  <c r="P118" i="1"/>
  <c r="Q117" i="1"/>
  <c r="R117" i="1" s="1"/>
  <c r="P117" i="1"/>
  <c r="Q116" i="1"/>
  <c r="P116" i="1"/>
  <c r="Q115" i="1"/>
  <c r="R115" i="1" s="1"/>
  <c r="P115" i="1"/>
  <c r="Q113" i="1"/>
  <c r="P113" i="1"/>
  <c r="Q112" i="1"/>
  <c r="R112" i="1" s="1"/>
  <c r="P112" i="1"/>
  <c r="Q108" i="1"/>
  <c r="R108" i="1" s="1"/>
  <c r="P108" i="1"/>
  <c r="Q100" i="1"/>
  <c r="P100" i="1"/>
  <c r="Q63" i="1"/>
  <c r="P63" i="1"/>
  <c r="P64" i="1" s="1"/>
  <c r="P61" i="1"/>
  <c r="Q60" i="1"/>
  <c r="P60" i="1"/>
  <c r="P24" i="1"/>
  <c r="P25" i="1" s="1"/>
  <c r="P18" i="1"/>
  <c r="Q17" i="1"/>
  <c r="P17" i="1"/>
  <c r="Q16" i="1"/>
  <c r="R16" i="1" s="1"/>
  <c r="P16" i="1"/>
  <c r="Q15" i="1"/>
  <c r="R15" i="1" s="1"/>
  <c r="P15" i="1"/>
  <c r="Q64" i="1" l="1"/>
  <c r="R116" i="1"/>
  <c r="Q25" i="1"/>
  <c r="R25" i="1"/>
  <c r="R14" i="1"/>
  <c r="R60" i="1"/>
  <c r="R63" i="1"/>
  <c r="R64" i="1" s="1"/>
  <c r="R100" i="1"/>
  <c r="R17" i="1"/>
  <c r="R18" i="1"/>
  <c r="R113" i="1"/>
</calcChain>
</file>

<file path=xl/sharedStrings.xml><?xml version="1.0" encoding="utf-8"?>
<sst xmlns="http://schemas.openxmlformats.org/spreadsheetml/2006/main" count="225" uniqueCount="152">
  <si>
    <t>в том числе по направлениям:</t>
  </si>
  <si>
    <t>налог на доходы физических лиц</t>
  </si>
  <si>
    <t>налог на имущество физических лиц</t>
  </si>
  <si>
    <t>земельный налог</t>
  </si>
  <si>
    <t xml:space="preserve">Неналоговые доходы - всего </t>
  </si>
  <si>
    <t>Продукция сельского хозяйства</t>
  </si>
  <si>
    <t>млн. руб.</t>
  </si>
  <si>
    <t>Индекс производства продукции сельского хозяйства</t>
  </si>
  <si>
    <t>Продукция растениеводства</t>
  </si>
  <si>
    <t xml:space="preserve">млн.руб. 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</si>
  <si>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</si>
  <si>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</si>
  <si>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</si>
  <si>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 том числе:</t>
  </si>
  <si>
    <t>Валовой сбор зерна (в весе после доработки)</t>
  </si>
  <si>
    <t>тыс. тонн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</si>
  <si>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</si>
  <si>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</si>
  <si>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</si>
  <si>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</si>
  <si>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</si>
  <si>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</si>
  <si>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</si>
  <si>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</si>
  <si>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тыс. руб.</t>
  </si>
  <si>
    <t>акцизы</t>
  </si>
  <si>
    <t>в ценах соответствующих лет; млн. руб.</t>
  </si>
  <si>
    <t>Индекс производства по виду деятельности "Строительство" (Раздел F)</t>
  </si>
  <si>
    <t>% к предыдущему году в сопоставимых ценах</t>
  </si>
  <si>
    <t>Ввод в действие жилых домов</t>
  </si>
  <si>
    <t>тыс. кв. м. в общей площади</t>
  </si>
  <si>
    <t>%</t>
  </si>
  <si>
    <t>3. Торговля и услуги населению</t>
  </si>
  <si>
    <t>Оборот розничной торговли</t>
  </si>
  <si>
    <t>Оборот общественного питания</t>
  </si>
  <si>
    <t>Объем платных услуг населению</t>
  </si>
  <si>
    <t>единиц</t>
  </si>
  <si>
    <t>тыс. чел.</t>
  </si>
  <si>
    <t xml:space="preserve">млрд. руб. </t>
  </si>
  <si>
    <t>Инвестиции в основной капитал</t>
  </si>
  <si>
    <t>Индекс физического объема инвестиций в основной капитал</t>
  </si>
  <si>
    <t>млн.руб.</t>
  </si>
  <si>
    <t>образование</t>
  </si>
  <si>
    <t>социальная политика</t>
  </si>
  <si>
    <t>Денежные доходы населения</t>
  </si>
  <si>
    <t>Величина прожиточного минимума (в среднем на душу населения)</t>
  </si>
  <si>
    <t>руб. в месяц</t>
  </si>
  <si>
    <t>Численность населения с денежными доходами ниже величины прожиточного минимума</t>
  </si>
  <si>
    <t>% от общей численности населения субъекта</t>
  </si>
  <si>
    <t>Расходы населения</t>
  </si>
  <si>
    <t xml:space="preserve"> </t>
  </si>
  <si>
    <t>Уровень зарегистрированной безработицы (на конец года)</t>
  </si>
  <si>
    <t>Численность безработных, зарегистрированных в  государственных учреждениях службы занятости населения (на конец года)</t>
  </si>
  <si>
    <t>Фонд начисленной заработной платы всех работников</t>
  </si>
  <si>
    <t>на конец года, %</t>
  </si>
  <si>
    <t>Численность детей в дошкольных образовательных учреждениях</t>
  </si>
  <si>
    <t xml:space="preserve">Численность обучающихся общеобразовательных учреждениях (без вечерних (сменных) общеобразовательных учреждениях (на начало учебного года) 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</si>
  <si>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</si>
  <si>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</si>
  <si>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</si>
  <si>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</si>
  <si>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</si>
  <si>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</si>
  <si>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</si>
  <si>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тыс. человек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</si>
  <si>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</si>
  <si>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</si>
  <si>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Безвозмездные поступления</t>
  </si>
  <si>
    <t>дотации из федерального бюджета</t>
  </si>
  <si>
    <t>дотации на выравнивание бюджетной обеспеченности</t>
  </si>
  <si>
    <t>субсидии из федерального бюджета</t>
  </si>
  <si>
    <t>субвенции из федерального 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</si>
  <si>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</si>
  <si>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</si>
  <si>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</si>
  <si>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</si>
  <si>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</si>
  <si>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</si>
  <si>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физическая культура и спорт</t>
  </si>
  <si>
    <t>обслуживание государственного и муниципального долга</t>
  </si>
  <si>
    <t>мест на 1000 детей в возрасте 1-6 лет</t>
  </si>
  <si>
    <t>Показатели</t>
  </si>
  <si>
    <t>Единица измерения</t>
  </si>
  <si>
    <t>1. Население</t>
  </si>
  <si>
    <t>Численность населения (среднегодовая)</t>
  </si>
  <si>
    <t>Все население (среднегодовая)</t>
  </si>
  <si>
    <t>тыс.чел.</t>
  </si>
  <si>
    <t>% к предыдущему году</t>
  </si>
  <si>
    <t>Сельское население (среднегодовая)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</si>
  <si>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</si>
  <si>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</si>
  <si>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</si>
  <si>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</si>
  <si>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</si>
  <si>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</si>
  <si>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2. Производство товаров и услуг</t>
  </si>
  <si>
    <t xml:space="preserve">млн. руб. </t>
  </si>
  <si>
    <t>Налоговые и неналоговые доходы - всего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</si>
  <si>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</si>
  <si>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</si>
  <si>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Темп роста отгрузки - РАЗДЕЛ C: Обрабатывающие производства</t>
  </si>
  <si>
    <t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</si>
  <si>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>базовый</t>
  </si>
  <si>
    <t>целевой</t>
  </si>
  <si>
    <t>Темп роста отгрузки - РАЗДЕЛ D: Обеспечение электрической энергией, газом и паром; кондиционирование воздуха</t>
  </si>
  <si>
    <t>Реальные денежные доходы населения</t>
  </si>
  <si>
    <t>от __________            №_________</t>
  </si>
  <si>
    <t>О.В.Богаевская</t>
  </si>
  <si>
    <t xml:space="preserve">Темп роста отгрузки -10 Производство пищевых продуктов </t>
  </si>
  <si>
    <t>постановлением администрации Курского муниципального района Ставропольского края</t>
  </si>
  <si>
    <t>УТВЕРЖДЕН</t>
  </si>
  <si>
    <t>консерва-тивный</t>
  </si>
  <si>
    <t>Отчет</t>
  </si>
  <si>
    <t>Оценка</t>
  </si>
  <si>
    <t>консерв-ативный</t>
  </si>
  <si>
    <t>консервативный</t>
  </si>
  <si>
    <t>4. Малое и среднее предпринимательство, включая микропредприятия</t>
  </si>
  <si>
    <t>5. Инвестиции</t>
  </si>
  <si>
    <t>7. Денежные доходы и расходы населения</t>
  </si>
  <si>
    <t>8. Труд и занятость</t>
  </si>
  <si>
    <t>9. Развитие социальной сферы</t>
  </si>
  <si>
    <t>Темп роста отгрузки - РАЗДЕЛ B: Добыча полезных ископаемых</t>
  </si>
  <si>
    <t>Превышение доходов над расходами (+), или расходов над доходами (-)</t>
  </si>
  <si>
    <t>Объем отгруженных товаров собственного производства, выполненных работ и услуг собственными силами (С УЧЕТОМ СУБЪЕКТОВ МАЛОГО ПРЕДПРИНИМАТЕЛЬСТВА) - РАЗДЕЛ B: Добыча полезных ископаемых</t>
  </si>
  <si>
    <t>Объем отгруженных товаров собственного производства, выполненных работ и услуг собственными силами (С УЧЕТОМ СУБЪЕКТОВ МАЛОГО ПРЕДПРИНИМАТЕЛЬСТВА) - РАЗДЕЛ C: 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</si>
  <si>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(С УЧЕТОМ СУБЪЕКТОВ МАЛОГО ПРЕДПРИНИМАТЕЛЬСТВА) - 10 Производство пищевых продуктов </t>
  </si>
  <si>
    <t>Объем отгруженных товаров собственного производства, выполненных работ и услуг собственными силами (С УЧЕТОМ СУБЪЕКТОВ МАЛОГО ПРЕДПРИНИМАТЕЛЬСТВА)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</si>
  <si>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(С УЧЕТОМ СУБЪЕКТОВ МАЛОГО ПРЕДПРИНИМАТЕЛЬСТВА) - РАЗДЕЛ E: Водоснабжение; водоотведение, организация сбора и утилизации отходов, деятельность по ликвидации загрязнений</t>
  </si>
  <si>
    <t>Объем работ, выполненных по виду экономической деятель-ности "Строительство" (С УЧЕТОМ СУБЪЕКТОВ МАЛОГО ПРЕДПРИНИМАТЕЛЬСТВА) (Раздел F)</t>
  </si>
  <si>
    <t>Оборот розничной торговли (С УЧЕТОМ СУБЪЕКТОВ МАЛОГО ПРЕДПРИНИМАТЕЛЬСТВА)</t>
  </si>
  <si>
    <t>Оборот общественного питания (С УЧЕТОМ СУБЪЕКТОВ МАЛОГО ПРЕДПРИНИМАТЕЛЬСТВА)</t>
  </si>
  <si>
    <t>Объем платных услуг населению (С УЧЕТОМ СУБЪЕКТОВ МАЛОГО ПРЕДПРИНИМАТЕЛЬСТВА)</t>
  </si>
  <si>
    <t xml:space="preserve">6. Консолидированный бюджет муниципального округа </t>
  </si>
  <si>
    <t>Налоговые доходы консолидированного бюджета муниципального округа - всего</t>
  </si>
  <si>
    <t xml:space="preserve">Доходы консолидированного бюджета муниципального округа </t>
  </si>
  <si>
    <t>Расходы консолидированного бюджета  муниципального округа - всего</t>
  </si>
  <si>
    <t xml:space="preserve">Дефицит(-),профицит(+) консолидированного бюджета </t>
  </si>
  <si>
    <t>Муниципальный долг муниципального округа</t>
  </si>
  <si>
    <t>Среднемесячная начисленная заработная плата в целом по округу</t>
  </si>
  <si>
    <t>Темп роста фонда начисленной заработной платы всех работников</t>
  </si>
  <si>
    <t>млрд. руб.</t>
  </si>
  <si>
    <t>Миграционный прирост (убыль)</t>
  </si>
  <si>
    <t>2.1. Промышленное производство (BCDE)</t>
  </si>
  <si>
    <t>2.2. Сельское хозяйство</t>
  </si>
  <si>
    <t xml:space="preserve">2.3. Производство важнейших видов продукции в натуральном выражении </t>
  </si>
  <si>
    <t>2.4. Строительство</t>
  </si>
  <si>
    <t>Факт</t>
  </si>
  <si>
    <t>План</t>
  </si>
  <si>
    <t>Отклонение</t>
  </si>
  <si>
    <t>Отчет по показателям прогноза</t>
  </si>
  <si>
    <t xml:space="preserve">социально-экономического развития Курского муниципального округа Ставропольского края за 2021 год </t>
  </si>
  <si>
    <t xml:space="preserve">Приложение к информации об итогах социально-экономического развития Курского муниципального округа Ставропольского края за 2021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</si>
</sst>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5"/>
      <name val="Arial Cyr"/>
      <charset val="204"/>
    </font>
    <font>
      <b/>
      <sz val="15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2" fontId="5" fillId="0" borderId="1" xfId="0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 applyProtection="1">
      <alignment horizontal="justify" vertical="top" wrapText="1" shrinkToFit="1"/>
    </xf>
    <xf numFmtId="0" fontId="5" fillId="0" borderId="1" xfId="0" applyFont="1" applyFill="1" applyBorder="1" applyAlignment="1" applyProtection="1">
      <alignment horizontal="center" vertical="top" wrapText="1"/>
    </xf>
    <xf numFmtId="0" fontId="5" fillId="0" borderId="0" xfId="0" applyFont="1" applyFill="1"/>
    <xf numFmtId="0" fontId="3" fillId="0" borderId="0" xfId="0" applyFont="1" applyFill="1"/>
    <xf numFmtId="10" fontId="6" fillId="0" borderId="1" xfId="1" applyNumberFormat="1" applyFont="1" applyFill="1" applyBorder="1" applyAlignment="1" applyProtection="1">
      <alignment horizontal="center" vertical="top" wrapText="1"/>
      <protection locked="0"/>
    </xf>
    <xf numFmtId="10" fontId="5" fillId="0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 applyProtection="1">
      <alignment horizontal="center" vertical="top" wrapText="1"/>
    </xf>
    <xf numFmtId="2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justify" vertical="top"/>
    </xf>
    <xf numFmtId="0" fontId="5" fillId="0" borderId="0" xfId="0" applyFont="1" applyFill="1" applyAlignment="1">
      <alignment vertical="top"/>
    </xf>
    <xf numFmtId="0" fontId="6" fillId="0" borderId="1" xfId="0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7" fillId="0" borderId="1" xfId="0" applyFont="1" applyFill="1" applyBorder="1" applyAlignment="1" applyProtection="1">
      <alignment horizontal="justify" vertical="top" wrapText="1" shrinkToFit="1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/>
    <xf numFmtId="0" fontId="6" fillId="0" borderId="1" xfId="0" applyFont="1" applyFill="1" applyBorder="1" applyAlignment="1" applyProtection="1">
      <alignment horizontal="justify" vertical="top" wrapText="1" shrinkToFit="1"/>
    </xf>
    <xf numFmtId="2" fontId="6" fillId="0" borderId="1" xfId="0" applyNumberFormat="1" applyFont="1" applyFill="1" applyBorder="1" applyAlignment="1" applyProtection="1">
      <alignment horizontal="center" vertical="top" wrapText="1"/>
      <protection locked="0"/>
    </xf>
    <xf numFmtId="10" fontId="6" fillId="0" borderId="1" xfId="0" applyNumberFormat="1" applyFont="1" applyFill="1" applyBorder="1" applyAlignment="1" applyProtection="1">
      <alignment horizontal="center" vertical="top" wrapText="1"/>
      <protection locked="0"/>
    </xf>
    <xf numFmtId="2" fontId="3" fillId="0" borderId="0" xfId="0" applyNumberFormat="1" applyFont="1" applyFill="1"/>
    <xf numFmtId="165" fontId="6" fillId="0" borderId="1" xfId="1" applyNumberFormat="1" applyFont="1" applyFill="1" applyBorder="1" applyAlignment="1" applyProtection="1">
      <alignment horizontal="center" vertical="top" wrapText="1"/>
      <protection locked="0"/>
    </xf>
    <xf numFmtId="165" fontId="6" fillId="0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1" xfId="0" applyFont="1" applyFill="1" applyBorder="1" applyAlignment="1">
      <alignment horizontal="justify" vertical="top" wrapText="1" shrinkToFit="1"/>
    </xf>
    <xf numFmtId="0" fontId="6" fillId="0" borderId="1" xfId="0" applyFont="1" applyFill="1" applyBorder="1" applyAlignment="1">
      <alignment horizontal="center" vertical="top" wrapText="1" shrinkToFi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center" vertical="top" wrapText="1"/>
      <protection locked="0" hidden="1"/>
    </xf>
    <xf numFmtId="1" fontId="6" fillId="0" borderId="1" xfId="0" applyNumberFormat="1" applyFont="1" applyFill="1" applyBorder="1" applyAlignment="1" applyProtection="1">
      <alignment horizontal="center" vertical="top" wrapText="1"/>
      <protection locked="0"/>
    </xf>
    <xf numFmtId="1" fontId="5" fillId="0" borderId="1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4" fillId="0" borderId="0" xfId="0" applyFont="1" applyFill="1"/>
    <xf numFmtId="0" fontId="8" fillId="0" borderId="1" xfId="0" applyFont="1" applyFill="1" applyBorder="1" applyAlignment="1" applyProtection="1">
      <alignment horizontal="justify" vertical="top" wrapText="1" shrinkToFit="1"/>
    </xf>
    <xf numFmtId="0" fontId="5" fillId="0" borderId="1" xfId="0" applyFont="1" applyFill="1" applyBorder="1" applyAlignment="1">
      <alignment horizontal="justify" vertical="top" wrapText="1" shrinkToFit="1"/>
    </xf>
    <xf numFmtId="0" fontId="5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2" fontId="8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Border="1"/>
    <xf numFmtId="0" fontId="6" fillId="0" borderId="2" xfId="0" applyFont="1" applyFill="1" applyBorder="1" applyAlignment="1" applyProtection="1">
      <alignment horizontal="center" vertical="top" wrapText="1"/>
    </xf>
    <xf numFmtId="0" fontId="6" fillId="0" borderId="3" xfId="0" applyFont="1" applyFill="1" applyBorder="1" applyAlignment="1" applyProtection="1">
      <alignment horizontal="center" vertical="top" wrapText="1"/>
    </xf>
    <xf numFmtId="0" fontId="6" fillId="0" borderId="4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horizontal="center" vertical="top"/>
    </xf>
    <xf numFmtId="2" fontId="7" fillId="0" borderId="2" xfId="0" applyNumberFormat="1" applyFont="1" applyFill="1" applyBorder="1" applyAlignment="1" applyProtection="1">
      <alignment vertical="center" wrapText="1"/>
    </xf>
    <xf numFmtId="2" fontId="7" fillId="0" borderId="3" xfId="0" applyNumberFormat="1" applyFont="1" applyFill="1" applyBorder="1" applyAlignment="1" applyProtection="1">
      <alignment vertical="center" wrapText="1"/>
    </xf>
    <xf numFmtId="2" fontId="5" fillId="0" borderId="0" xfId="0" applyNumberFormat="1" applyFont="1" applyFill="1" applyAlignment="1">
      <alignment horizontal="center" wrapText="1"/>
    </xf>
    <xf numFmtId="2" fontId="9" fillId="0" borderId="5" xfId="0" applyNumberFormat="1" applyFont="1" applyFill="1" applyBorder="1" applyAlignment="1" applyProtection="1">
      <alignment horizontal="center" vertical="center" wrapText="1"/>
    </xf>
    <xf numFmtId="2" fontId="9" fillId="0" borderId="6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6" fillId="0" borderId="5" xfId="0" applyFont="1" applyFill="1" applyBorder="1" applyAlignment="1" applyProtection="1">
      <alignment horizontal="center" vertical="top" wrapText="1"/>
    </xf>
    <xf numFmtId="0" fontId="6" fillId="0" borderId="7" xfId="0" applyFont="1" applyFill="1" applyBorder="1" applyAlignment="1" applyProtection="1">
      <alignment horizontal="center" vertical="top" wrapText="1"/>
    </xf>
    <xf numFmtId="0" fontId="6" fillId="0" borderId="6" xfId="0" applyFont="1" applyFill="1" applyBorder="1" applyAlignment="1" applyProtection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Fill="1" applyBorder="1" applyAlignment="1" applyProtection="1">
      <alignment horizontal="center" vertical="center" wrapText="1"/>
    </xf>
    <xf numFmtId="2" fontId="9" fillId="0" borderId="9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top" wrapText="1"/>
    </xf>
    <xf numFmtId="0" fontId="6" fillId="0" borderId="3" xfId="0" applyFont="1" applyFill="1" applyBorder="1" applyAlignment="1" applyProtection="1">
      <alignment horizontal="center" vertical="top" wrapText="1"/>
    </xf>
    <xf numFmtId="0" fontId="6" fillId="0" borderId="4" xfId="0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123"/>
  <sheetViews>
    <sheetView tabSelected="1" view="pageBreakPreview" zoomScale="80" zoomScaleNormal="25" zoomScaleSheetLayoutView="80" workbookViewId="0">
      <pane xSplit="13" ySplit="11" topLeftCell="P101" activePane="bottomRight" state="frozen"/>
      <selection pane="topRight" activeCell="N1" sqref="N1"/>
      <selection pane="bottomLeft" activeCell="A11" sqref="A11"/>
      <selection pane="bottomRight" activeCell="S114" sqref="S114"/>
    </sheetView>
  </sheetViews>
  <sheetFormatPr defaultColWidth="9.140625" defaultRowHeight="19.5" x14ac:dyDescent="0.3"/>
  <cols>
    <col min="1" max="1" width="0.140625" style="7" customWidth="1"/>
    <col min="2" max="2" width="0.42578125" style="7" hidden="1" customWidth="1"/>
    <col min="3" max="3" width="21" style="6" customWidth="1"/>
    <col min="4" max="4" width="72.140625" style="6" customWidth="1"/>
    <col min="5" max="5" width="24.5703125" style="6" customWidth="1"/>
    <col min="6" max="6" width="11.140625" style="6" hidden="1" customWidth="1"/>
    <col min="7" max="7" width="11.7109375" style="6" hidden="1" customWidth="1"/>
    <col min="8" max="8" width="17.28515625" style="6" hidden="1" customWidth="1"/>
    <col min="9" max="9" width="18.7109375" style="6" hidden="1" customWidth="1"/>
    <col min="10" max="10" width="16.42578125" style="6" hidden="1" customWidth="1"/>
    <col min="11" max="11" width="16" style="6" hidden="1" customWidth="1"/>
    <col min="12" max="12" width="16.5703125" style="6" hidden="1" customWidth="1"/>
    <col min="13" max="13" width="16.7109375" style="6" hidden="1" customWidth="1"/>
    <col min="14" max="14" width="11" style="6" hidden="1" customWidth="1"/>
    <col min="15" max="15" width="11.28515625" style="6" hidden="1" customWidth="1"/>
    <col min="16" max="22" width="11.5703125" style="11" customWidth="1"/>
    <col min="23" max="23" width="5.5703125" style="7" customWidth="1"/>
    <col min="24" max="24" width="11.28515625" style="7" customWidth="1"/>
    <col min="25" max="25" width="11.7109375" style="7" customWidth="1"/>
    <col min="26" max="26" width="11" style="7" customWidth="1"/>
    <col min="27" max="27" width="12.42578125" style="7" customWidth="1"/>
    <col min="28" max="28" width="13" style="7" customWidth="1"/>
    <col min="29" max="16384" width="9.140625" style="7"/>
  </cols>
  <sheetData>
    <row r="1" spans="4:22" ht="11.25" customHeight="1" x14ac:dyDescent="0.3"/>
    <row r="2" spans="4:22" ht="19.5" customHeight="1" x14ac:dyDescent="0.3">
      <c r="G2" s="12"/>
      <c r="K2" s="59" t="s">
        <v>110</v>
      </c>
      <c r="L2" s="59"/>
      <c r="M2" s="59"/>
      <c r="N2" s="12"/>
      <c r="O2" s="12"/>
      <c r="R2" s="54" t="s">
        <v>151</v>
      </c>
      <c r="S2" s="54"/>
      <c r="T2" s="54"/>
      <c r="U2" s="54"/>
      <c r="V2" s="54"/>
    </row>
    <row r="3" spans="4:22" ht="59.25" customHeight="1" x14ac:dyDescent="0.3">
      <c r="D3" s="13"/>
      <c r="E3" s="13"/>
      <c r="F3" s="13"/>
      <c r="G3" s="14"/>
      <c r="H3" s="13"/>
      <c r="I3" s="13"/>
      <c r="J3" s="13"/>
      <c r="K3" s="67" t="s">
        <v>109</v>
      </c>
      <c r="L3" s="67"/>
      <c r="M3" s="67"/>
      <c r="N3" s="14"/>
      <c r="O3" s="14"/>
      <c r="R3" s="54"/>
      <c r="S3" s="54"/>
      <c r="T3" s="54"/>
      <c r="U3" s="54"/>
      <c r="V3" s="54"/>
    </row>
    <row r="4" spans="4:22" x14ac:dyDescent="0.3">
      <c r="D4" s="13"/>
      <c r="E4" s="13"/>
      <c r="F4" s="13"/>
      <c r="G4" s="15"/>
      <c r="H4" s="13"/>
      <c r="I4" s="13"/>
      <c r="J4" s="13"/>
      <c r="K4" s="16" t="s">
        <v>106</v>
      </c>
      <c r="L4" s="16"/>
      <c r="M4" s="16"/>
      <c r="N4" s="15"/>
      <c r="O4" s="15"/>
    </row>
    <row r="5" spans="4:22" x14ac:dyDescent="0.3">
      <c r="D5" s="73" t="s">
        <v>149</v>
      </c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</row>
    <row r="6" spans="4:22" x14ac:dyDescent="0.3">
      <c r="D6" s="74" t="s">
        <v>150</v>
      </c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</row>
    <row r="7" spans="4:22" x14ac:dyDescent="0.3">
      <c r="D7" s="6" t="s">
        <v>50</v>
      </c>
    </row>
    <row r="8" spans="4:22" x14ac:dyDescent="0.3">
      <c r="D8" s="80" t="s">
        <v>81</v>
      </c>
      <c r="E8" s="80" t="s">
        <v>82</v>
      </c>
      <c r="F8" s="17" t="s">
        <v>112</v>
      </c>
      <c r="G8" s="18" t="s">
        <v>112</v>
      </c>
      <c r="H8" s="77"/>
      <c r="I8" s="78"/>
      <c r="J8" s="78"/>
      <c r="K8" s="78"/>
      <c r="L8" s="78"/>
      <c r="M8" s="79"/>
      <c r="N8" s="18" t="s">
        <v>112</v>
      </c>
      <c r="O8" s="19" t="s">
        <v>113</v>
      </c>
      <c r="P8" s="52"/>
      <c r="Q8" s="53"/>
      <c r="R8" s="53"/>
      <c r="S8" s="53"/>
      <c r="T8" s="53"/>
      <c r="U8" s="53"/>
      <c r="V8" s="53"/>
    </row>
    <row r="9" spans="4:22" x14ac:dyDescent="0.3">
      <c r="D9" s="80"/>
      <c r="E9" s="80"/>
      <c r="F9" s="60">
        <v>2017</v>
      </c>
      <c r="G9" s="63">
        <v>2018</v>
      </c>
      <c r="H9" s="77">
        <v>2019</v>
      </c>
      <c r="I9" s="78"/>
      <c r="J9" s="79"/>
      <c r="K9" s="77">
        <v>2020</v>
      </c>
      <c r="L9" s="78"/>
      <c r="M9" s="79"/>
      <c r="N9" s="63">
        <v>2019</v>
      </c>
      <c r="O9" s="63">
        <v>2020</v>
      </c>
      <c r="P9" s="75" t="s">
        <v>147</v>
      </c>
      <c r="Q9" s="76"/>
      <c r="R9" s="76"/>
      <c r="S9" s="68" t="s">
        <v>146</v>
      </c>
      <c r="T9" s="69"/>
      <c r="U9" s="69"/>
      <c r="V9" s="70"/>
    </row>
    <row r="10" spans="4:22" x14ac:dyDescent="0.3">
      <c r="D10" s="80"/>
      <c r="E10" s="80"/>
      <c r="F10" s="61"/>
      <c r="G10" s="64"/>
      <c r="H10" s="47"/>
      <c r="I10" s="48"/>
      <c r="J10" s="49"/>
      <c r="K10" s="47"/>
      <c r="L10" s="48"/>
      <c r="M10" s="49"/>
      <c r="N10" s="64"/>
      <c r="O10" s="64"/>
      <c r="P10" s="55" t="s">
        <v>115</v>
      </c>
      <c r="Q10" s="55" t="s">
        <v>102</v>
      </c>
      <c r="R10" s="55" t="s">
        <v>103</v>
      </c>
      <c r="S10" s="71" t="s">
        <v>146</v>
      </c>
      <c r="T10" s="57" t="s">
        <v>148</v>
      </c>
      <c r="U10" s="57"/>
      <c r="V10" s="57"/>
    </row>
    <row r="11" spans="4:22" ht="37.5" x14ac:dyDescent="0.3">
      <c r="D11" s="80"/>
      <c r="E11" s="80"/>
      <c r="F11" s="62"/>
      <c r="G11" s="65"/>
      <c r="H11" s="17" t="s">
        <v>111</v>
      </c>
      <c r="I11" s="17" t="s">
        <v>102</v>
      </c>
      <c r="J11" s="17" t="s">
        <v>103</v>
      </c>
      <c r="K11" s="17" t="s">
        <v>114</v>
      </c>
      <c r="L11" s="17" t="s">
        <v>102</v>
      </c>
      <c r="M11" s="17" t="s">
        <v>103</v>
      </c>
      <c r="N11" s="65"/>
      <c r="O11" s="65"/>
      <c r="P11" s="56"/>
      <c r="Q11" s="56"/>
      <c r="R11" s="56"/>
      <c r="S11" s="72"/>
      <c r="T11" s="2" t="s">
        <v>115</v>
      </c>
      <c r="U11" s="2" t="s">
        <v>102</v>
      </c>
      <c r="V11" s="2" t="s">
        <v>103</v>
      </c>
    </row>
    <row r="12" spans="4:22" x14ac:dyDescent="0.3">
      <c r="D12" s="20" t="s">
        <v>83</v>
      </c>
      <c r="E12" s="17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2"/>
      <c r="Q12" s="22"/>
      <c r="R12" s="22"/>
      <c r="S12" s="22"/>
      <c r="T12" s="22"/>
      <c r="U12" s="22"/>
      <c r="V12" s="22"/>
    </row>
    <row r="13" spans="4:22" x14ac:dyDescent="0.3">
      <c r="D13" s="23" t="s">
        <v>84</v>
      </c>
      <c r="E13" s="17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2"/>
      <c r="Q13" s="22"/>
      <c r="R13" s="22"/>
      <c r="S13" s="22"/>
      <c r="T13" s="22"/>
      <c r="U13" s="22"/>
      <c r="V13" s="22"/>
    </row>
    <row r="14" spans="4:22" x14ac:dyDescent="0.3">
      <c r="D14" s="23" t="s">
        <v>85</v>
      </c>
      <c r="E14" s="5" t="s">
        <v>86</v>
      </c>
      <c r="F14" s="10">
        <v>54.3</v>
      </c>
      <c r="G14" s="10">
        <v>54.16</v>
      </c>
      <c r="H14" s="10">
        <v>54.3</v>
      </c>
      <c r="I14" s="10">
        <v>54.5</v>
      </c>
      <c r="J14" s="10">
        <v>54.8</v>
      </c>
      <c r="K14" s="10">
        <v>54.5</v>
      </c>
      <c r="L14" s="10">
        <v>54.8</v>
      </c>
      <c r="M14" s="10">
        <v>55</v>
      </c>
      <c r="N14" s="10">
        <v>54.1</v>
      </c>
      <c r="O14" s="10">
        <v>54.1</v>
      </c>
      <c r="P14" s="1">
        <f t="shared" ref="P14:P19" si="0">O14*99.7%</f>
        <v>53.9377</v>
      </c>
      <c r="Q14" s="1">
        <f>O14*100.01%</f>
        <v>54.105409999999999</v>
      </c>
      <c r="R14" s="1">
        <f>Q14*100.1%</f>
        <v>54.15951540999999</v>
      </c>
      <c r="S14" s="1">
        <v>54.070999999999998</v>
      </c>
      <c r="T14" s="1">
        <f>S14/P14*100</f>
        <v>100.24713697469487</v>
      </c>
      <c r="U14" s="1">
        <f>S14/Q14*100</f>
        <v>99.93640192357843</v>
      </c>
      <c r="V14" s="1">
        <f>S14/R14*100</f>
        <v>99.836565358220227</v>
      </c>
    </row>
    <row r="15" spans="4:22" x14ac:dyDescent="0.3">
      <c r="D15" s="23" t="s">
        <v>88</v>
      </c>
      <c r="E15" s="5" t="s">
        <v>86</v>
      </c>
      <c r="F15" s="10">
        <v>54.3</v>
      </c>
      <c r="G15" s="24">
        <v>54.16</v>
      </c>
      <c r="H15" s="10">
        <v>54.3</v>
      </c>
      <c r="I15" s="24">
        <v>54.5</v>
      </c>
      <c r="J15" s="10">
        <v>54.8</v>
      </c>
      <c r="K15" s="24">
        <v>54.5</v>
      </c>
      <c r="L15" s="10">
        <v>54.8</v>
      </c>
      <c r="M15" s="24">
        <v>55</v>
      </c>
      <c r="N15" s="24">
        <v>54.1</v>
      </c>
      <c r="O15" s="24">
        <v>54.1</v>
      </c>
      <c r="P15" s="1">
        <f t="shared" si="0"/>
        <v>53.9377</v>
      </c>
      <c r="Q15" s="1">
        <f>O15*100.01%</f>
        <v>54.105409999999999</v>
      </c>
      <c r="R15" s="1">
        <f t="shared" ref="R15:R19" si="1">Q15*100.1%</f>
        <v>54.15951540999999</v>
      </c>
      <c r="S15" s="1">
        <v>54.070999999999998</v>
      </c>
      <c r="T15" s="1">
        <f t="shared" ref="T15:T78" si="2">S15/P15*100</f>
        <v>100.24713697469487</v>
      </c>
      <c r="U15" s="1">
        <f t="shared" ref="U15:U78" si="3">S15/Q15*100</f>
        <v>99.93640192357843</v>
      </c>
      <c r="V15" s="1">
        <f t="shared" ref="V15:V78" si="4">S15/R15*100</f>
        <v>99.836565358220227</v>
      </c>
    </row>
    <row r="16" spans="4:22" ht="56.25" x14ac:dyDescent="0.3">
      <c r="D16" s="23" t="s">
        <v>89</v>
      </c>
      <c r="E16" s="5" t="s">
        <v>90</v>
      </c>
      <c r="F16" s="24">
        <v>13.3</v>
      </c>
      <c r="G16" s="24">
        <v>9.4</v>
      </c>
      <c r="H16" s="24">
        <v>13.5</v>
      </c>
      <c r="I16" s="24">
        <v>13.8</v>
      </c>
      <c r="J16" s="24">
        <v>14</v>
      </c>
      <c r="K16" s="24">
        <v>13.5</v>
      </c>
      <c r="L16" s="24">
        <v>13.8</v>
      </c>
      <c r="M16" s="24">
        <v>14</v>
      </c>
      <c r="N16" s="24">
        <v>11.2</v>
      </c>
      <c r="O16" s="24">
        <v>11</v>
      </c>
      <c r="P16" s="1">
        <f t="shared" si="0"/>
        <v>10.967000000000001</v>
      </c>
      <c r="Q16" s="1">
        <f>O16*100.01%</f>
        <v>11.001099999999999</v>
      </c>
      <c r="R16" s="1">
        <f t="shared" si="1"/>
        <v>11.012101099999999</v>
      </c>
      <c r="S16" s="1">
        <v>10.6</v>
      </c>
      <c r="T16" s="1">
        <f t="shared" si="2"/>
        <v>96.65359715510165</v>
      </c>
      <c r="U16" s="1">
        <f t="shared" si="3"/>
        <v>96.354000963540017</v>
      </c>
      <c r="V16" s="1">
        <f t="shared" si="4"/>
        <v>96.257743220319696</v>
      </c>
    </row>
    <row r="17" spans="4:28" ht="56.25" x14ac:dyDescent="0.3">
      <c r="D17" s="23" t="s">
        <v>91</v>
      </c>
      <c r="E17" s="5" t="s">
        <v>92</v>
      </c>
      <c r="F17" s="24">
        <v>8.6999999999999993</v>
      </c>
      <c r="G17" s="24">
        <v>9.8000000000000007</v>
      </c>
      <c r="H17" s="24">
        <v>10</v>
      </c>
      <c r="I17" s="24">
        <v>9.9</v>
      </c>
      <c r="J17" s="24">
        <v>9.6999999999999993</v>
      </c>
      <c r="K17" s="24">
        <v>10</v>
      </c>
      <c r="L17" s="24">
        <v>9.9</v>
      </c>
      <c r="M17" s="24">
        <v>9.6999999999999993</v>
      </c>
      <c r="N17" s="24">
        <v>9.5</v>
      </c>
      <c r="O17" s="24">
        <v>10</v>
      </c>
      <c r="P17" s="1">
        <f t="shared" si="0"/>
        <v>9.9700000000000006</v>
      </c>
      <c r="Q17" s="1">
        <f>O17*100.01%</f>
        <v>10.000999999999999</v>
      </c>
      <c r="R17" s="1">
        <f t="shared" si="1"/>
        <v>10.011000999999998</v>
      </c>
      <c r="S17" s="1">
        <v>11.5</v>
      </c>
      <c r="T17" s="1">
        <f t="shared" si="2"/>
        <v>115.34603811434303</v>
      </c>
      <c r="U17" s="1">
        <f t="shared" si="3"/>
        <v>114.98850114988501</v>
      </c>
      <c r="V17" s="1">
        <f t="shared" si="4"/>
        <v>114.87362752236268</v>
      </c>
    </row>
    <row r="18" spans="4:28" ht="37.5" x14ac:dyDescent="0.3">
      <c r="D18" s="23" t="s">
        <v>93</v>
      </c>
      <c r="E18" s="5" t="s">
        <v>94</v>
      </c>
      <c r="F18" s="24">
        <v>4.5999999999999996</v>
      </c>
      <c r="G18" s="24">
        <v>-0.4</v>
      </c>
      <c r="H18" s="24">
        <v>3.5</v>
      </c>
      <c r="I18" s="24">
        <v>3.9000000000000004</v>
      </c>
      <c r="J18" s="24">
        <v>4.3000000000000007</v>
      </c>
      <c r="K18" s="24">
        <v>3.5</v>
      </c>
      <c r="L18" s="24">
        <v>3.9000000000000004</v>
      </c>
      <c r="M18" s="24">
        <v>4.3000000000000007</v>
      </c>
      <c r="N18" s="24">
        <v>-0.3</v>
      </c>
      <c r="O18" s="24">
        <v>-0.3</v>
      </c>
      <c r="P18" s="1">
        <f t="shared" si="0"/>
        <v>-0.29909999999999998</v>
      </c>
      <c r="Q18" s="1">
        <v>0.1</v>
      </c>
      <c r="R18" s="1">
        <f t="shared" si="1"/>
        <v>0.10009999999999999</v>
      </c>
      <c r="S18" s="1">
        <v>-0.9</v>
      </c>
      <c r="T18" s="1">
        <f t="shared" si="2"/>
        <v>300.90270812437313</v>
      </c>
      <c r="U18" s="1">
        <f t="shared" si="3"/>
        <v>-900</v>
      </c>
      <c r="V18" s="1">
        <f t="shared" si="4"/>
        <v>-899.10089910089914</v>
      </c>
    </row>
    <row r="19" spans="4:28" x14ac:dyDescent="0.3">
      <c r="D19" s="23" t="s">
        <v>141</v>
      </c>
      <c r="E19" s="5" t="s">
        <v>64</v>
      </c>
      <c r="F19" s="24">
        <v>-0.01</v>
      </c>
      <c r="G19" s="24">
        <v>-0.1</v>
      </c>
      <c r="H19" s="24"/>
      <c r="I19" s="24"/>
      <c r="J19" s="24"/>
      <c r="K19" s="24"/>
      <c r="L19" s="24"/>
      <c r="M19" s="24"/>
      <c r="N19" s="24">
        <v>-0.24</v>
      </c>
      <c r="O19" s="24">
        <v>-0.3</v>
      </c>
      <c r="P19" s="1">
        <f t="shared" si="0"/>
        <v>-0.29909999999999998</v>
      </c>
      <c r="Q19" s="1">
        <v>0.2</v>
      </c>
      <c r="R19" s="1">
        <f t="shared" si="1"/>
        <v>0.20019999999999999</v>
      </c>
      <c r="S19" s="1">
        <v>0.25</v>
      </c>
      <c r="T19" s="1">
        <f t="shared" si="2"/>
        <v>-83.584085590103655</v>
      </c>
      <c r="U19" s="1">
        <f t="shared" si="3"/>
        <v>125</v>
      </c>
      <c r="V19" s="1">
        <f t="shared" si="4"/>
        <v>124.87512487512488</v>
      </c>
    </row>
    <row r="20" spans="4:28" x14ac:dyDescent="0.3">
      <c r="D20" s="20" t="s">
        <v>95</v>
      </c>
      <c r="E20" s="5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1"/>
      <c r="Q20" s="1"/>
      <c r="R20" s="1"/>
      <c r="S20" s="1"/>
      <c r="T20" s="1"/>
      <c r="U20" s="1"/>
      <c r="V20" s="1"/>
    </row>
    <row r="21" spans="4:28" x14ac:dyDescent="0.3">
      <c r="D21" s="20" t="s">
        <v>142</v>
      </c>
      <c r="E21" s="5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1"/>
      <c r="Q21" s="1"/>
      <c r="R21" s="1"/>
      <c r="S21" s="1"/>
      <c r="T21" s="1"/>
      <c r="U21" s="1"/>
      <c r="V21" s="1"/>
    </row>
    <row r="22" spans="4:28" ht="93.75" x14ac:dyDescent="0.3">
      <c r="D22" s="23" t="s">
        <v>123</v>
      </c>
      <c r="E22" s="5" t="s">
        <v>96</v>
      </c>
      <c r="F22" s="24">
        <v>0</v>
      </c>
      <c r="G22" s="24">
        <v>0</v>
      </c>
      <c r="H22" s="24"/>
      <c r="I22" s="24"/>
      <c r="J22" s="24"/>
      <c r="K22" s="24"/>
      <c r="L22" s="24"/>
      <c r="M22" s="24"/>
      <c r="N22" s="24">
        <v>0</v>
      </c>
      <c r="O22" s="24">
        <v>0</v>
      </c>
      <c r="P22" s="1">
        <v>0</v>
      </c>
      <c r="Q22" s="1">
        <v>0</v>
      </c>
      <c r="R22" s="1">
        <v>0</v>
      </c>
      <c r="S22" s="1">
        <v>0</v>
      </c>
      <c r="T22" s="1">
        <v>100</v>
      </c>
      <c r="U22" s="1">
        <v>100</v>
      </c>
      <c r="V22" s="1">
        <v>100</v>
      </c>
    </row>
    <row r="23" spans="4:28" ht="56.25" x14ac:dyDescent="0.3">
      <c r="D23" s="23" t="s">
        <v>121</v>
      </c>
      <c r="E23" s="5" t="s">
        <v>65</v>
      </c>
      <c r="F23" s="24">
        <v>0</v>
      </c>
      <c r="G23" s="24">
        <v>0</v>
      </c>
      <c r="H23" s="24"/>
      <c r="I23" s="24"/>
      <c r="J23" s="24"/>
      <c r="K23" s="24"/>
      <c r="L23" s="24"/>
      <c r="M23" s="24"/>
      <c r="N23" s="25">
        <v>0</v>
      </c>
      <c r="O23" s="25">
        <v>0</v>
      </c>
      <c r="P23" s="9">
        <v>0</v>
      </c>
      <c r="Q23" s="9">
        <v>0</v>
      </c>
      <c r="R23" s="9">
        <v>0</v>
      </c>
      <c r="S23" s="9">
        <v>0</v>
      </c>
      <c r="T23" s="1">
        <v>100</v>
      </c>
      <c r="U23" s="1">
        <v>100</v>
      </c>
      <c r="V23" s="1">
        <v>100</v>
      </c>
    </row>
    <row r="24" spans="4:28" ht="93.75" x14ac:dyDescent="0.3">
      <c r="D24" s="4" t="s">
        <v>124</v>
      </c>
      <c r="E24" s="17" t="s">
        <v>96</v>
      </c>
      <c r="F24" s="10">
        <v>205.9</v>
      </c>
      <c r="G24" s="10">
        <v>216.6</v>
      </c>
      <c r="H24" s="10">
        <v>260</v>
      </c>
      <c r="I24" s="10">
        <v>285</v>
      </c>
      <c r="J24" s="10">
        <v>290</v>
      </c>
      <c r="K24" s="10">
        <v>285</v>
      </c>
      <c r="L24" s="10">
        <v>290</v>
      </c>
      <c r="M24" s="10">
        <v>300</v>
      </c>
      <c r="N24" s="10">
        <v>103</v>
      </c>
      <c r="O24" s="10">
        <v>98.8</v>
      </c>
      <c r="P24" s="1">
        <f>O24*99.7%</f>
        <v>98.503599999999992</v>
      </c>
      <c r="Q24" s="1">
        <f>O24*102.4%</f>
        <v>101.1712</v>
      </c>
      <c r="R24" s="1">
        <f>O24*102.6%</f>
        <v>101.36879999999999</v>
      </c>
      <c r="S24" s="1">
        <v>54.05</v>
      </c>
      <c r="T24" s="1">
        <f t="shared" si="2"/>
        <v>54.871091005810953</v>
      </c>
      <c r="U24" s="1">
        <f t="shared" si="3"/>
        <v>53.424294660931167</v>
      </c>
      <c r="V24" s="1">
        <f t="shared" si="4"/>
        <v>53.320153735666196</v>
      </c>
      <c r="X24" s="26"/>
      <c r="Y24" s="26"/>
      <c r="Z24" s="26"/>
      <c r="AA24" s="26"/>
      <c r="AB24" s="26"/>
    </row>
    <row r="25" spans="4:28" ht="56.25" x14ac:dyDescent="0.3">
      <c r="D25" s="4" t="s">
        <v>100</v>
      </c>
      <c r="E25" s="5" t="s">
        <v>65</v>
      </c>
      <c r="F25" s="27">
        <v>0.92100000000000004</v>
      </c>
      <c r="G25" s="28">
        <v>1.05</v>
      </c>
      <c r="H25" s="28">
        <v>1</v>
      </c>
      <c r="I25" s="28">
        <v>1.0178571428571428</v>
      </c>
      <c r="J25" s="28">
        <v>1.0175438596491229</v>
      </c>
      <c r="K25" s="28">
        <v>1.0961538461538463</v>
      </c>
      <c r="L25" s="28">
        <v>1.0175438596491229</v>
      </c>
      <c r="M25" s="28">
        <v>1.0344827586206897</v>
      </c>
      <c r="N25" s="9">
        <v>0.56000000000000005</v>
      </c>
      <c r="O25" s="9">
        <v>0.95899999999999996</v>
      </c>
      <c r="P25" s="9">
        <f>P24/O24</f>
        <v>0.997</v>
      </c>
      <c r="Q25" s="9">
        <f>Q24/O24</f>
        <v>1.024</v>
      </c>
      <c r="R25" s="9">
        <f>R24/O24</f>
        <v>1.026</v>
      </c>
      <c r="S25" s="9">
        <v>0.57199999999999995</v>
      </c>
      <c r="T25" s="1">
        <f t="shared" si="2"/>
        <v>57.37211634904714</v>
      </c>
      <c r="U25" s="1">
        <f t="shared" si="3"/>
        <v>55.859374999999986</v>
      </c>
      <c r="V25" s="1">
        <f t="shared" si="4"/>
        <v>55.750487329434698</v>
      </c>
    </row>
    <row r="26" spans="4:28" ht="93.75" x14ac:dyDescent="0.3">
      <c r="D26" s="4" t="s">
        <v>125</v>
      </c>
      <c r="E26" s="17" t="s">
        <v>96</v>
      </c>
      <c r="F26" s="24">
        <v>181.7</v>
      </c>
      <c r="G26" s="24">
        <v>276</v>
      </c>
      <c r="H26" s="24">
        <v>220</v>
      </c>
      <c r="I26" s="24">
        <v>245</v>
      </c>
      <c r="J26" s="24">
        <v>260</v>
      </c>
      <c r="K26" s="24">
        <v>245</v>
      </c>
      <c r="L26" s="24">
        <v>260</v>
      </c>
      <c r="M26" s="24">
        <v>280</v>
      </c>
      <c r="N26" s="24">
        <v>286</v>
      </c>
      <c r="O26" s="24">
        <v>294.58</v>
      </c>
      <c r="P26" s="1">
        <f>O26*99.7%</f>
        <v>293.69626</v>
      </c>
      <c r="Q26" s="1">
        <f>O26*102.4%</f>
        <v>301.64992000000001</v>
      </c>
      <c r="R26" s="1">
        <f>O26*103.3%</f>
        <v>304.30113999999998</v>
      </c>
      <c r="S26" s="1">
        <v>291.2</v>
      </c>
      <c r="T26" s="1">
        <f t="shared" si="2"/>
        <v>99.150053868578368</v>
      </c>
      <c r="U26" s="1">
        <f t="shared" si="3"/>
        <v>96.535745807590459</v>
      </c>
      <c r="V26" s="1">
        <f t="shared" si="4"/>
        <v>95.694679290389786</v>
      </c>
    </row>
    <row r="27" spans="4:28" ht="56.25" x14ac:dyDescent="0.3">
      <c r="D27" s="4" t="s">
        <v>108</v>
      </c>
      <c r="E27" s="17" t="s">
        <v>65</v>
      </c>
      <c r="F27" s="27">
        <v>0.72463768115942029</v>
      </c>
      <c r="G27" s="28">
        <v>1.095</v>
      </c>
      <c r="H27" s="28">
        <v>1.1000000000000001</v>
      </c>
      <c r="I27" s="28">
        <v>1.1136363636363635</v>
      </c>
      <c r="J27" s="28">
        <v>1.0612244897959184</v>
      </c>
      <c r="K27" s="28">
        <v>1.1136363636363635</v>
      </c>
      <c r="L27" s="28">
        <v>1.0612244897959184</v>
      </c>
      <c r="M27" s="28">
        <v>1.0769230769230769</v>
      </c>
      <c r="N27" s="9">
        <v>1.05</v>
      </c>
      <c r="O27" s="9">
        <v>1.0329999999999999</v>
      </c>
      <c r="P27" s="9">
        <f>P26/O26</f>
        <v>0.997</v>
      </c>
      <c r="Q27" s="9">
        <f>Q26/O26</f>
        <v>1.024</v>
      </c>
      <c r="R27" s="9">
        <f>R26/O26</f>
        <v>1.0329999999999999</v>
      </c>
      <c r="S27" s="9">
        <v>0.995</v>
      </c>
      <c r="T27" s="1">
        <f t="shared" si="2"/>
        <v>99.799398194583759</v>
      </c>
      <c r="U27" s="1">
        <f t="shared" si="3"/>
        <v>97.16796875</v>
      </c>
      <c r="V27" s="1">
        <f t="shared" si="4"/>
        <v>96.321393998063897</v>
      </c>
    </row>
    <row r="28" spans="4:28" ht="112.5" x14ac:dyDescent="0.3">
      <c r="D28" s="4" t="s">
        <v>126</v>
      </c>
      <c r="E28" s="5" t="s">
        <v>96</v>
      </c>
      <c r="F28" s="24">
        <v>246.73</v>
      </c>
      <c r="G28" s="24">
        <v>243.86</v>
      </c>
      <c r="H28" s="24">
        <v>170</v>
      </c>
      <c r="I28" s="24">
        <v>172</v>
      </c>
      <c r="J28" s="24">
        <v>173.2</v>
      </c>
      <c r="K28" s="24">
        <v>172</v>
      </c>
      <c r="L28" s="24">
        <v>173.2</v>
      </c>
      <c r="M28" s="24">
        <v>174</v>
      </c>
      <c r="N28" s="24">
        <v>207.13</v>
      </c>
      <c r="O28" s="24">
        <v>201.33</v>
      </c>
      <c r="P28" s="1">
        <f>O28*99.7%</f>
        <v>200.72601</v>
      </c>
      <c r="Q28" s="1">
        <f>O28*102.4%</f>
        <v>206.16192000000001</v>
      </c>
      <c r="R28" s="1">
        <f>O28*103%</f>
        <v>207.36990000000003</v>
      </c>
      <c r="S28" s="1">
        <v>212.21</v>
      </c>
      <c r="T28" s="1">
        <f t="shared" si="2"/>
        <v>105.72122666115867</v>
      </c>
      <c r="U28" s="1">
        <f t="shared" si="3"/>
        <v>102.93365525505389</v>
      </c>
      <c r="V28" s="1">
        <f t="shared" si="4"/>
        <v>102.33404172929627</v>
      </c>
    </row>
    <row r="29" spans="4:28" ht="56.25" x14ac:dyDescent="0.3">
      <c r="D29" s="4" t="s">
        <v>104</v>
      </c>
      <c r="E29" s="5" t="s">
        <v>65</v>
      </c>
      <c r="F29" s="27">
        <v>1.0529999999999999</v>
      </c>
      <c r="G29" s="28">
        <v>0.98799999999999999</v>
      </c>
      <c r="H29" s="28">
        <v>1.0101010101010099</v>
      </c>
      <c r="I29" s="28">
        <v>1.0068813314249421</v>
      </c>
      <c r="J29" s="28">
        <v>1.0038674107920789</v>
      </c>
      <c r="K29" s="28">
        <v>1.0117647058823529</v>
      </c>
      <c r="L29" s="28">
        <v>1.0069767441860464</v>
      </c>
      <c r="M29" s="28">
        <v>1.004618937644342</v>
      </c>
      <c r="N29" s="28">
        <v>1.0900000000000001</v>
      </c>
      <c r="O29" s="28">
        <v>0.97199999999999998</v>
      </c>
      <c r="P29" s="9">
        <f>P28/O28</f>
        <v>0.997</v>
      </c>
      <c r="Q29" s="9">
        <f>Q28/O28</f>
        <v>1.024</v>
      </c>
      <c r="R29" s="9">
        <f>R28/O28</f>
        <v>1.03</v>
      </c>
      <c r="S29" s="9">
        <v>1.08</v>
      </c>
      <c r="T29" s="1">
        <f t="shared" si="2"/>
        <v>108.32497492477432</v>
      </c>
      <c r="U29" s="1">
        <f t="shared" si="3"/>
        <v>105.46875</v>
      </c>
      <c r="V29" s="1">
        <f t="shared" si="4"/>
        <v>104.85436893203884</v>
      </c>
    </row>
    <row r="30" spans="4:28" ht="131.25" x14ac:dyDescent="0.3">
      <c r="D30" s="4" t="s">
        <v>127</v>
      </c>
      <c r="E30" s="17" t="s">
        <v>96</v>
      </c>
      <c r="F30" s="24">
        <v>59.9</v>
      </c>
      <c r="G30" s="24">
        <v>62.17</v>
      </c>
      <c r="H30" s="24">
        <v>62</v>
      </c>
      <c r="I30" s="24">
        <v>62.3</v>
      </c>
      <c r="J30" s="24">
        <v>62.8</v>
      </c>
      <c r="K30" s="24">
        <v>62.4</v>
      </c>
      <c r="L30" s="24">
        <v>62.7</v>
      </c>
      <c r="M30" s="24">
        <v>62.9</v>
      </c>
      <c r="N30" s="24">
        <v>63.1</v>
      </c>
      <c r="O30" s="24">
        <v>59.94</v>
      </c>
      <c r="P30" s="1">
        <f>O30*99.7%</f>
        <v>59.760179999999998</v>
      </c>
      <c r="Q30" s="1">
        <f>O30*102.4%</f>
        <v>61.37856</v>
      </c>
      <c r="R30" s="1">
        <f>O30*102.8%</f>
        <v>61.618319999999997</v>
      </c>
      <c r="S30" s="1">
        <v>60.1</v>
      </c>
      <c r="T30" s="1">
        <f t="shared" si="2"/>
        <v>100.5686395188234</v>
      </c>
      <c r="U30" s="1">
        <f t="shared" si="3"/>
        <v>97.916927344010688</v>
      </c>
      <c r="V30" s="1">
        <f t="shared" si="4"/>
        <v>97.535927626718816</v>
      </c>
    </row>
    <row r="31" spans="4:28" ht="56.25" x14ac:dyDescent="0.3">
      <c r="D31" s="4" t="s">
        <v>101</v>
      </c>
      <c r="E31" s="17" t="s">
        <v>65</v>
      </c>
      <c r="F31" s="27">
        <v>1.0152542372881355</v>
      </c>
      <c r="G31" s="28">
        <v>1.0369999999999999</v>
      </c>
      <c r="H31" s="28">
        <v>1.024793388429752</v>
      </c>
      <c r="I31" s="28">
        <v>1.021311475409836</v>
      </c>
      <c r="J31" s="28">
        <v>1.0161812297734627</v>
      </c>
      <c r="K31" s="28">
        <v>1.0064516129032257</v>
      </c>
      <c r="L31" s="28">
        <v>1.0064205457463886</v>
      </c>
      <c r="M31" s="28">
        <v>1.0015923566878981</v>
      </c>
      <c r="N31" s="28">
        <v>1.0209999999999999</v>
      </c>
      <c r="O31" s="28">
        <v>0.95</v>
      </c>
      <c r="P31" s="9">
        <f>P30/O30</f>
        <v>0.997</v>
      </c>
      <c r="Q31" s="9">
        <f>Q30/O30</f>
        <v>1.024</v>
      </c>
      <c r="R31" s="9">
        <f>R30/O30</f>
        <v>1.028</v>
      </c>
      <c r="S31" s="9">
        <v>1.0009999999999999</v>
      </c>
      <c r="T31" s="1">
        <f t="shared" si="2"/>
        <v>100.4012036108325</v>
      </c>
      <c r="U31" s="1">
        <f t="shared" si="3"/>
        <v>97.753906249999986</v>
      </c>
      <c r="V31" s="1">
        <f t="shared" si="4"/>
        <v>97.373540856031113</v>
      </c>
    </row>
    <row r="32" spans="4:28" x14ac:dyDescent="0.3">
      <c r="D32" s="20" t="s">
        <v>143</v>
      </c>
      <c r="E32" s="17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1"/>
      <c r="Q32" s="1"/>
      <c r="R32" s="1"/>
      <c r="S32" s="1"/>
      <c r="T32" s="1"/>
      <c r="U32" s="1"/>
      <c r="V32" s="1"/>
    </row>
    <row r="33" spans="4:22" x14ac:dyDescent="0.3">
      <c r="D33" s="29" t="s">
        <v>5</v>
      </c>
      <c r="E33" s="30" t="s">
        <v>6</v>
      </c>
      <c r="F33" s="24">
        <v>4291</v>
      </c>
      <c r="G33" s="24">
        <v>4850</v>
      </c>
      <c r="H33" s="24">
        <v>4720</v>
      </c>
      <c r="I33" s="24">
        <v>4750</v>
      </c>
      <c r="J33" s="24">
        <v>4800</v>
      </c>
      <c r="K33" s="24">
        <v>4800</v>
      </c>
      <c r="L33" s="24">
        <v>4820</v>
      </c>
      <c r="M33" s="24">
        <v>4840</v>
      </c>
      <c r="N33" s="24">
        <v>5120</v>
      </c>
      <c r="O33" s="24">
        <v>5084.16</v>
      </c>
      <c r="P33" s="1">
        <f>O33*99.7%</f>
        <v>5068.9075199999997</v>
      </c>
      <c r="Q33" s="1">
        <f>O33*102.4%</f>
        <v>5206.1798399999998</v>
      </c>
      <c r="R33" s="1">
        <f>O33*102.6%</f>
        <v>5216.3481599999996</v>
      </c>
      <c r="S33" s="1">
        <v>5694</v>
      </c>
      <c r="T33" s="1">
        <f t="shared" si="2"/>
        <v>112.33189750520445</v>
      </c>
      <c r="U33" s="1">
        <f t="shared" si="3"/>
        <v>109.37002130145392</v>
      </c>
      <c r="V33" s="1">
        <f t="shared" si="4"/>
        <v>109.15682437883902</v>
      </c>
    </row>
    <row r="34" spans="4:22" ht="75" x14ac:dyDescent="0.3">
      <c r="D34" s="23" t="s">
        <v>7</v>
      </c>
      <c r="E34" s="17" t="s">
        <v>28</v>
      </c>
      <c r="F34" s="27">
        <v>0.80500000000000005</v>
      </c>
      <c r="G34" s="27">
        <v>1.0898000000000001</v>
      </c>
      <c r="H34" s="27">
        <v>0.98762373544405824</v>
      </c>
      <c r="I34" s="27">
        <v>0.97232457217718837</v>
      </c>
      <c r="J34" s="27">
        <v>0.97635392829900847</v>
      </c>
      <c r="K34" s="27">
        <v>0.98350981870635668</v>
      </c>
      <c r="L34" s="27">
        <v>0.98137025348671481</v>
      </c>
      <c r="M34" s="27">
        <v>0.97235615557698496</v>
      </c>
      <c r="N34" s="27">
        <v>1.113</v>
      </c>
      <c r="O34" s="27">
        <v>0.99299999999999999</v>
      </c>
      <c r="P34" s="9">
        <f>P33/O33</f>
        <v>0.997</v>
      </c>
      <c r="Q34" s="9">
        <f>Q33/O33</f>
        <v>1.024</v>
      </c>
      <c r="R34" s="9">
        <f>R33/O33</f>
        <v>1.026</v>
      </c>
      <c r="S34" s="9">
        <v>1.05</v>
      </c>
      <c r="T34" s="1">
        <f t="shared" si="2"/>
        <v>105.31594784353059</v>
      </c>
      <c r="U34" s="1">
        <f t="shared" si="3"/>
        <v>102.5390625</v>
      </c>
      <c r="V34" s="1">
        <f t="shared" si="4"/>
        <v>102.3391812865497</v>
      </c>
    </row>
    <row r="35" spans="4:22" x14ac:dyDescent="0.3">
      <c r="D35" s="23" t="s">
        <v>8</v>
      </c>
      <c r="E35" s="17" t="s">
        <v>9</v>
      </c>
      <c r="F35" s="24">
        <v>2901</v>
      </c>
      <c r="G35" s="24">
        <v>2950</v>
      </c>
      <c r="H35" s="24">
        <v>3090</v>
      </c>
      <c r="I35" s="24">
        <v>3115</v>
      </c>
      <c r="J35" s="24">
        <v>3155</v>
      </c>
      <c r="K35" s="24">
        <v>3165</v>
      </c>
      <c r="L35" s="24">
        <v>3175</v>
      </c>
      <c r="M35" s="24">
        <v>3185</v>
      </c>
      <c r="N35" s="24">
        <v>3095</v>
      </c>
      <c r="O35" s="24">
        <v>3065.05</v>
      </c>
      <c r="P35" s="1">
        <f>O35*99.7%</f>
        <v>3055.8548500000002</v>
      </c>
      <c r="Q35" s="1">
        <f>O35*102.4%</f>
        <v>3138.6112000000003</v>
      </c>
      <c r="R35" s="1">
        <f>O35*102.9%</f>
        <v>3153.9364500000006</v>
      </c>
      <c r="S35" s="1">
        <v>4359.37</v>
      </c>
      <c r="T35" s="1">
        <f t="shared" si="2"/>
        <v>142.65631759309508</v>
      </c>
      <c r="U35" s="1">
        <f t="shared" si="3"/>
        <v>138.89487171905841</v>
      </c>
      <c r="V35" s="1">
        <f t="shared" si="4"/>
        <v>138.21996952411641</v>
      </c>
    </row>
    <row r="36" spans="4:22" ht="75" x14ac:dyDescent="0.3">
      <c r="D36" s="23" t="s">
        <v>10</v>
      </c>
      <c r="E36" s="17" t="s">
        <v>28</v>
      </c>
      <c r="F36" s="27">
        <v>0.73950000000000005</v>
      </c>
      <c r="G36" s="27">
        <v>0.98570000000000002</v>
      </c>
      <c r="H36" s="27">
        <v>0.99546788279122744</v>
      </c>
      <c r="I36" s="27">
        <v>0.97777945187849813</v>
      </c>
      <c r="J36" s="27">
        <v>0.98143516617517124</v>
      </c>
      <c r="K36" s="27">
        <v>0.99540509685150069</v>
      </c>
      <c r="L36" s="27">
        <v>0.98957440508656835</v>
      </c>
      <c r="M36" s="27">
        <v>0.97537074040898197</v>
      </c>
      <c r="N36" s="27">
        <v>1.1140000000000001</v>
      </c>
      <c r="O36" s="27">
        <v>0.99</v>
      </c>
      <c r="P36" s="9">
        <f>P35/O35</f>
        <v>0.997</v>
      </c>
      <c r="Q36" s="9">
        <f>Q35/O35</f>
        <v>1.024</v>
      </c>
      <c r="R36" s="9">
        <f>R35/O35</f>
        <v>1.0290000000000001</v>
      </c>
      <c r="S36" s="9">
        <v>1.097</v>
      </c>
      <c r="T36" s="1">
        <f t="shared" si="2"/>
        <v>110.03009027081244</v>
      </c>
      <c r="U36" s="1">
        <f t="shared" si="3"/>
        <v>107.12890625</v>
      </c>
      <c r="V36" s="1">
        <f t="shared" si="4"/>
        <v>106.60835762876577</v>
      </c>
    </row>
    <row r="37" spans="4:22" x14ac:dyDescent="0.3">
      <c r="D37" s="23" t="s">
        <v>11</v>
      </c>
      <c r="E37" s="17" t="s">
        <v>9</v>
      </c>
      <c r="F37" s="24">
        <v>1390</v>
      </c>
      <c r="G37" s="24">
        <v>1900</v>
      </c>
      <c r="H37" s="24">
        <v>1630</v>
      </c>
      <c r="I37" s="24">
        <v>1635</v>
      </c>
      <c r="J37" s="24">
        <v>1645</v>
      </c>
      <c r="K37" s="24">
        <v>1635</v>
      </c>
      <c r="L37" s="24">
        <v>1645</v>
      </c>
      <c r="M37" s="24">
        <v>1655</v>
      </c>
      <c r="N37" s="24">
        <v>2025</v>
      </c>
      <c r="O37" s="24">
        <v>2018.92</v>
      </c>
      <c r="P37" s="1">
        <f>O37*99.7%</f>
        <v>2012.8632400000001</v>
      </c>
      <c r="Q37" s="1">
        <f>O37*101.4%</f>
        <v>2047.18488</v>
      </c>
      <c r="R37" s="1">
        <f>O37*102.3%</f>
        <v>2065.3551600000001</v>
      </c>
      <c r="S37" s="1">
        <v>1334.64</v>
      </c>
      <c r="T37" s="1">
        <f t="shared" si="2"/>
        <v>66.305547911938618</v>
      </c>
      <c r="U37" s="1">
        <f t="shared" si="3"/>
        <v>65.193916438069834</v>
      </c>
      <c r="V37" s="1">
        <f t="shared" si="4"/>
        <v>64.620362921019364</v>
      </c>
    </row>
    <row r="38" spans="4:22" ht="75" x14ac:dyDescent="0.3">
      <c r="D38" s="23" t="s">
        <v>12</v>
      </c>
      <c r="E38" s="17" t="s">
        <v>28</v>
      </c>
      <c r="F38" s="27">
        <v>1.0301</v>
      </c>
      <c r="G38" s="27">
        <v>1.208</v>
      </c>
      <c r="H38" s="27">
        <v>0.97214767102045696</v>
      </c>
      <c r="I38" s="27">
        <v>0.96356146461342629</v>
      </c>
      <c r="J38" s="27">
        <v>0.96835053700776752</v>
      </c>
      <c r="K38" s="27">
        <v>0.96356146461342629</v>
      </c>
      <c r="L38" s="27">
        <v>0.96928343733243771</v>
      </c>
      <c r="M38" s="27">
        <v>0.96645439707552649</v>
      </c>
      <c r="N38" s="27">
        <v>1.478</v>
      </c>
      <c r="O38" s="27">
        <v>0.997</v>
      </c>
      <c r="P38" s="9">
        <f>P37/O37</f>
        <v>0.997</v>
      </c>
      <c r="Q38" s="9">
        <f>Q37/O37</f>
        <v>1.014</v>
      </c>
      <c r="R38" s="9">
        <f>R37/O37</f>
        <v>1.0229999999999999</v>
      </c>
      <c r="S38" s="9">
        <v>0.92400000000000004</v>
      </c>
      <c r="T38" s="1">
        <f t="shared" si="2"/>
        <v>92.678034102306924</v>
      </c>
      <c r="U38" s="1">
        <f t="shared" si="3"/>
        <v>91.124260355029591</v>
      </c>
      <c r="V38" s="1">
        <f t="shared" si="4"/>
        <v>90.322580645161295</v>
      </c>
    </row>
    <row r="39" spans="4:22" ht="37.5" x14ac:dyDescent="0.3">
      <c r="D39" s="20" t="s">
        <v>144</v>
      </c>
      <c r="E39" s="17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1"/>
      <c r="Q39" s="1"/>
      <c r="R39" s="1"/>
      <c r="S39" s="1"/>
      <c r="T39" s="1"/>
      <c r="U39" s="1"/>
      <c r="V39" s="1"/>
    </row>
    <row r="40" spans="4:22" x14ac:dyDescent="0.3">
      <c r="D40" s="23" t="s">
        <v>14</v>
      </c>
      <c r="E40" s="17" t="s">
        <v>15</v>
      </c>
      <c r="F40" s="24">
        <v>275.39999999999998</v>
      </c>
      <c r="G40" s="24">
        <v>273</v>
      </c>
      <c r="H40" s="24">
        <v>264.8</v>
      </c>
      <c r="I40" s="24">
        <v>275</v>
      </c>
      <c r="J40" s="24">
        <v>280</v>
      </c>
      <c r="K40" s="24">
        <v>271.2</v>
      </c>
      <c r="L40" s="24">
        <v>281.5</v>
      </c>
      <c r="M40" s="24">
        <v>287.13</v>
      </c>
      <c r="N40" s="24">
        <v>240.2</v>
      </c>
      <c r="O40" s="24">
        <v>242.84</v>
      </c>
      <c r="P40" s="1">
        <f t="shared" ref="P40:P45" si="5">O40*99.7%</f>
        <v>242.11148</v>
      </c>
      <c r="Q40" s="1">
        <f>O40*102%</f>
        <v>247.6968</v>
      </c>
      <c r="R40" s="1">
        <f>O40*104%</f>
        <v>252.55360000000002</v>
      </c>
      <c r="S40" s="1">
        <v>216.54</v>
      </c>
      <c r="T40" s="1">
        <f t="shared" si="2"/>
        <v>89.438138166765157</v>
      </c>
      <c r="U40" s="1">
        <f t="shared" si="3"/>
        <v>87.421395835553781</v>
      </c>
      <c r="V40" s="1">
        <f t="shared" si="4"/>
        <v>85.740215146408516</v>
      </c>
    </row>
    <row r="41" spans="4:22" x14ac:dyDescent="0.3">
      <c r="D41" s="23" t="s">
        <v>16</v>
      </c>
      <c r="E41" s="17" t="s">
        <v>15</v>
      </c>
      <c r="F41" s="24">
        <v>44.2</v>
      </c>
      <c r="G41" s="24">
        <v>44.5</v>
      </c>
      <c r="H41" s="24">
        <v>44.81</v>
      </c>
      <c r="I41" s="24">
        <v>46.72</v>
      </c>
      <c r="J41" s="24">
        <v>48.7</v>
      </c>
      <c r="K41" s="24">
        <v>45.12</v>
      </c>
      <c r="L41" s="24">
        <v>49.05</v>
      </c>
      <c r="M41" s="24">
        <v>53.08</v>
      </c>
      <c r="N41" s="24">
        <v>31.7</v>
      </c>
      <c r="O41" s="24">
        <v>29.44</v>
      </c>
      <c r="P41" s="1">
        <f t="shared" si="5"/>
        <v>29.351680000000002</v>
      </c>
      <c r="Q41" s="1">
        <f>O41*101%</f>
        <v>29.734400000000001</v>
      </c>
      <c r="R41" s="1">
        <f>O41*102%</f>
        <v>30.0288</v>
      </c>
      <c r="S41" s="1">
        <v>32.246000000000002</v>
      </c>
      <c r="T41" s="1">
        <f t="shared" si="2"/>
        <v>109.86083249749248</v>
      </c>
      <c r="U41" s="1">
        <f t="shared" si="3"/>
        <v>108.44678217821782</v>
      </c>
      <c r="V41" s="1">
        <f t="shared" si="4"/>
        <v>107.38357843137256</v>
      </c>
    </row>
    <row r="42" spans="4:22" x14ac:dyDescent="0.3">
      <c r="D42" s="23" t="s">
        <v>17</v>
      </c>
      <c r="E42" s="17" t="s">
        <v>15</v>
      </c>
      <c r="F42" s="24">
        <v>16.399999999999999</v>
      </c>
      <c r="G42" s="24">
        <v>16.899999999999999</v>
      </c>
      <c r="H42" s="24">
        <v>6</v>
      </c>
      <c r="I42" s="24">
        <v>10</v>
      </c>
      <c r="J42" s="24">
        <v>12</v>
      </c>
      <c r="K42" s="24">
        <v>6</v>
      </c>
      <c r="L42" s="24">
        <v>10</v>
      </c>
      <c r="M42" s="24">
        <v>12</v>
      </c>
      <c r="N42" s="24">
        <v>8.5</v>
      </c>
      <c r="O42" s="24">
        <v>7.89</v>
      </c>
      <c r="P42" s="1">
        <f t="shared" si="5"/>
        <v>7.8663299999999996</v>
      </c>
      <c r="Q42" s="1">
        <f>O42*101%</f>
        <v>7.9688999999999997</v>
      </c>
      <c r="R42" s="1">
        <f>O42*102%</f>
        <v>8.0478000000000005</v>
      </c>
      <c r="S42" s="1">
        <v>6.944</v>
      </c>
      <c r="T42" s="1">
        <f t="shared" si="2"/>
        <v>88.274964309913258</v>
      </c>
      <c r="U42" s="1">
        <f t="shared" si="3"/>
        <v>87.138751898003491</v>
      </c>
      <c r="V42" s="1">
        <f t="shared" si="4"/>
        <v>86.284450408807373</v>
      </c>
    </row>
    <row r="43" spans="4:22" x14ac:dyDescent="0.3">
      <c r="D43" s="23" t="s">
        <v>18</v>
      </c>
      <c r="E43" s="17" t="s">
        <v>15</v>
      </c>
      <c r="F43" s="24">
        <v>7.3</v>
      </c>
      <c r="G43" s="24">
        <v>9.4</v>
      </c>
      <c r="H43" s="24">
        <v>5</v>
      </c>
      <c r="I43" s="24">
        <v>8</v>
      </c>
      <c r="J43" s="24">
        <v>9</v>
      </c>
      <c r="K43" s="24">
        <v>5</v>
      </c>
      <c r="L43" s="24">
        <v>8</v>
      </c>
      <c r="M43" s="24">
        <v>9</v>
      </c>
      <c r="N43" s="24">
        <v>1.8</v>
      </c>
      <c r="O43" s="24">
        <v>1.78</v>
      </c>
      <c r="P43" s="1">
        <f t="shared" si="5"/>
        <v>1.7746600000000001</v>
      </c>
      <c r="Q43" s="1">
        <f>O43*100%</f>
        <v>1.78</v>
      </c>
      <c r="R43" s="1">
        <f>O43*100.8%</f>
        <v>1.7942400000000001</v>
      </c>
      <c r="S43" s="1">
        <v>1.796</v>
      </c>
      <c r="T43" s="1">
        <f t="shared" si="2"/>
        <v>101.20248385606257</v>
      </c>
      <c r="U43" s="1">
        <f t="shared" si="3"/>
        <v>100.89887640449437</v>
      </c>
      <c r="V43" s="1">
        <f t="shared" si="4"/>
        <v>100.09809167112537</v>
      </c>
    </row>
    <row r="44" spans="4:22" x14ac:dyDescent="0.3">
      <c r="D44" s="23" t="s">
        <v>19</v>
      </c>
      <c r="E44" s="17" t="s">
        <v>15</v>
      </c>
      <c r="F44" s="24">
        <v>10.3</v>
      </c>
      <c r="G44" s="24">
        <v>10.5</v>
      </c>
      <c r="H44" s="24">
        <v>13</v>
      </c>
      <c r="I44" s="24">
        <v>13.2</v>
      </c>
      <c r="J44" s="24">
        <v>13.5</v>
      </c>
      <c r="K44" s="24">
        <v>13</v>
      </c>
      <c r="L44" s="24">
        <v>13.2</v>
      </c>
      <c r="M44" s="24">
        <v>13.5</v>
      </c>
      <c r="N44" s="24">
        <v>3.4</v>
      </c>
      <c r="O44" s="24">
        <v>3.38</v>
      </c>
      <c r="P44" s="1">
        <f t="shared" si="5"/>
        <v>3.3698600000000001</v>
      </c>
      <c r="Q44" s="1">
        <f>O44*101%</f>
        <v>3.4137999999999997</v>
      </c>
      <c r="R44" s="1">
        <f>O44*102.1%</f>
        <v>3.4509799999999995</v>
      </c>
      <c r="S44" s="1">
        <v>3.7429999999999999</v>
      </c>
      <c r="T44" s="1">
        <f t="shared" si="2"/>
        <v>111.07286356109749</v>
      </c>
      <c r="U44" s="1">
        <f t="shared" si="3"/>
        <v>109.64321284199426</v>
      </c>
      <c r="V44" s="1">
        <f t="shared" si="4"/>
        <v>108.46194414340276</v>
      </c>
    </row>
    <row r="45" spans="4:22" x14ac:dyDescent="0.3">
      <c r="D45" s="23" t="s">
        <v>20</v>
      </c>
      <c r="E45" s="17" t="s">
        <v>15</v>
      </c>
      <c r="F45" s="24">
        <v>7.3</v>
      </c>
      <c r="G45" s="24">
        <v>7.5</v>
      </c>
      <c r="H45" s="24">
        <v>6.5</v>
      </c>
      <c r="I45" s="24">
        <v>7</v>
      </c>
      <c r="J45" s="24">
        <v>7.5</v>
      </c>
      <c r="K45" s="24">
        <v>6.5</v>
      </c>
      <c r="L45" s="24">
        <v>7</v>
      </c>
      <c r="M45" s="24">
        <v>7.5</v>
      </c>
      <c r="N45" s="24">
        <v>7.48</v>
      </c>
      <c r="O45" s="24">
        <v>7.6</v>
      </c>
      <c r="P45" s="1">
        <f t="shared" si="5"/>
        <v>7.5771999999999995</v>
      </c>
      <c r="Q45" s="1">
        <f>O45*101%</f>
        <v>7.6759999999999993</v>
      </c>
      <c r="R45" s="1">
        <f>O45*101.9%</f>
        <v>7.7444000000000006</v>
      </c>
      <c r="S45" s="1">
        <v>5.0629999999999997</v>
      </c>
      <c r="T45" s="1">
        <f t="shared" si="2"/>
        <v>66.818877685688648</v>
      </c>
      <c r="U45" s="1">
        <f t="shared" si="3"/>
        <v>65.958832725377803</v>
      </c>
      <c r="V45" s="1">
        <f t="shared" si="4"/>
        <v>65.376271886782703</v>
      </c>
    </row>
    <row r="46" spans="4:22" x14ac:dyDescent="0.3">
      <c r="D46" s="23" t="s">
        <v>21</v>
      </c>
      <c r="E46" s="17" t="s">
        <v>15</v>
      </c>
      <c r="F46" s="24">
        <v>24.5</v>
      </c>
      <c r="G46" s="24">
        <v>2.5</v>
      </c>
      <c r="H46" s="24">
        <v>20</v>
      </c>
      <c r="I46" s="24">
        <v>21</v>
      </c>
      <c r="J46" s="24">
        <v>22</v>
      </c>
      <c r="K46" s="24">
        <v>20</v>
      </c>
      <c r="L46" s="24">
        <v>21</v>
      </c>
      <c r="M46" s="24">
        <v>22</v>
      </c>
      <c r="N46" s="24">
        <v>20.93</v>
      </c>
      <c r="O46" s="24">
        <v>21.41</v>
      </c>
      <c r="P46" s="1">
        <f t="shared" ref="P46:P47" si="6">O46*99.7%</f>
        <v>21.345770000000002</v>
      </c>
      <c r="Q46" s="1">
        <f>O46*101%</f>
        <v>21.624100000000002</v>
      </c>
      <c r="R46" s="1">
        <f>O46*101.7%</f>
        <v>21.773970000000002</v>
      </c>
      <c r="S46" s="1">
        <v>16.989999999999998</v>
      </c>
      <c r="T46" s="1">
        <f t="shared" si="2"/>
        <v>79.594224054695601</v>
      </c>
      <c r="U46" s="1">
        <f t="shared" si="3"/>
        <v>78.569743943100505</v>
      </c>
      <c r="V46" s="1">
        <f t="shared" si="4"/>
        <v>78.028949245360394</v>
      </c>
    </row>
    <row r="47" spans="4:22" x14ac:dyDescent="0.3">
      <c r="D47" s="4" t="s">
        <v>22</v>
      </c>
      <c r="E47" s="5" t="s">
        <v>23</v>
      </c>
      <c r="F47" s="24">
        <v>20.9</v>
      </c>
      <c r="G47" s="24">
        <v>21.7</v>
      </c>
      <c r="H47" s="24">
        <v>21</v>
      </c>
      <c r="I47" s="24">
        <v>22</v>
      </c>
      <c r="J47" s="24">
        <v>23</v>
      </c>
      <c r="K47" s="24">
        <v>21</v>
      </c>
      <c r="L47" s="24">
        <v>22</v>
      </c>
      <c r="M47" s="24">
        <v>23</v>
      </c>
      <c r="N47" s="24">
        <v>23.01</v>
      </c>
      <c r="O47" s="24">
        <v>22.98</v>
      </c>
      <c r="P47" s="1">
        <f t="shared" si="6"/>
        <v>22.911059999999999</v>
      </c>
      <c r="Q47" s="1">
        <f>O47*100%</f>
        <v>22.98</v>
      </c>
      <c r="R47" s="1">
        <f>O47*100.2%</f>
        <v>23.025960000000001</v>
      </c>
      <c r="S47" s="1">
        <v>16.103999999999999</v>
      </c>
      <c r="T47" s="1">
        <f t="shared" si="2"/>
        <v>70.289196571437557</v>
      </c>
      <c r="U47" s="1">
        <f t="shared" si="3"/>
        <v>70.078328981723232</v>
      </c>
      <c r="V47" s="1">
        <f t="shared" si="4"/>
        <v>69.938452077568087</v>
      </c>
    </row>
    <row r="48" spans="4:22" x14ac:dyDescent="0.3">
      <c r="D48" s="20" t="s">
        <v>145</v>
      </c>
      <c r="E48" s="17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1"/>
      <c r="Q48" s="1"/>
      <c r="R48" s="1"/>
      <c r="S48" s="1"/>
      <c r="T48" s="1"/>
      <c r="U48" s="1"/>
      <c r="V48" s="1"/>
    </row>
    <row r="49" spans="3:22" ht="56.25" x14ac:dyDescent="0.3">
      <c r="D49" s="23" t="s">
        <v>128</v>
      </c>
      <c r="E49" s="30" t="s">
        <v>26</v>
      </c>
      <c r="F49" s="24">
        <v>5001.1000000000004</v>
      </c>
      <c r="G49" s="24">
        <v>2600</v>
      </c>
      <c r="H49" s="24">
        <v>3650</v>
      </c>
      <c r="I49" s="24">
        <v>3780</v>
      </c>
      <c r="J49" s="24">
        <v>3900</v>
      </c>
      <c r="K49" s="24">
        <v>3780</v>
      </c>
      <c r="L49" s="24">
        <v>3900</v>
      </c>
      <c r="M49" s="24">
        <v>4000</v>
      </c>
      <c r="N49" s="24">
        <v>3000</v>
      </c>
      <c r="O49" s="24">
        <v>3114</v>
      </c>
      <c r="P49" s="1">
        <f>O49*99.7%</f>
        <v>3104.6579999999999</v>
      </c>
      <c r="Q49" s="1">
        <f>O49*102%</f>
        <v>3176.28</v>
      </c>
      <c r="R49" s="1">
        <f>O49*103.9%</f>
        <v>3235.4460000000004</v>
      </c>
      <c r="S49" s="1">
        <v>2285.1799999999998</v>
      </c>
      <c r="T49" s="1">
        <f t="shared" si="2"/>
        <v>73.604886592983831</v>
      </c>
      <c r="U49" s="1">
        <f t="shared" si="3"/>
        <v>71.945168561965559</v>
      </c>
      <c r="V49" s="1">
        <f t="shared" si="4"/>
        <v>70.629520628686109</v>
      </c>
    </row>
    <row r="50" spans="3:22" ht="75" x14ac:dyDescent="0.3">
      <c r="D50" s="23" t="s">
        <v>27</v>
      </c>
      <c r="E50" s="17" t="s">
        <v>28</v>
      </c>
      <c r="F50" s="27">
        <v>0.72142349430549246</v>
      </c>
      <c r="G50" s="27">
        <v>0.497</v>
      </c>
      <c r="H50" s="27">
        <v>0.99319727891156462</v>
      </c>
      <c r="I50" s="27">
        <v>0.98630136986301364</v>
      </c>
      <c r="J50" s="27">
        <v>0.98168033467748039</v>
      </c>
      <c r="K50" s="27">
        <v>0.98818362438565299</v>
      </c>
      <c r="L50" s="27">
        <v>0.98449048830728225</v>
      </c>
      <c r="M50" s="27">
        <v>0.97773215027743143</v>
      </c>
      <c r="N50" s="27">
        <v>0.89700000000000002</v>
      </c>
      <c r="O50" s="27">
        <v>1.038</v>
      </c>
      <c r="P50" s="9">
        <f>P49/O49</f>
        <v>0.997</v>
      </c>
      <c r="Q50" s="9">
        <f>Q49/O49</f>
        <v>1.02</v>
      </c>
      <c r="R50" s="9">
        <f>R49/O49</f>
        <v>1.0390000000000001</v>
      </c>
      <c r="S50" s="9">
        <v>0.69799999999999995</v>
      </c>
      <c r="T50" s="1">
        <f t="shared" si="2"/>
        <v>70.010030090270803</v>
      </c>
      <c r="U50" s="1">
        <f t="shared" si="3"/>
        <v>68.431372549019599</v>
      </c>
      <c r="V50" s="1">
        <f t="shared" si="4"/>
        <v>67.179980750721839</v>
      </c>
    </row>
    <row r="51" spans="3:22" ht="37.5" x14ac:dyDescent="0.3">
      <c r="D51" s="29" t="s">
        <v>29</v>
      </c>
      <c r="E51" s="30" t="s">
        <v>30</v>
      </c>
      <c r="F51" s="24">
        <v>4.7</v>
      </c>
      <c r="G51" s="24">
        <v>6.6</v>
      </c>
      <c r="H51" s="24">
        <v>3.3</v>
      </c>
      <c r="I51" s="24">
        <v>3.8</v>
      </c>
      <c r="J51" s="24">
        <v>4.5</v>
      </c>
      <c r="K51" s="24">
        <v>3.8</v>
      </c>
      <c r="L51" s="24">
        <v>4</v>
      </c>
      <c r="M51" s="24">
        <v>4.5</v>
      </c>
      <c r="N51" s="24">
        <v>12.5</v>
      </c>
      <c r="O51" s="24">
        <v>9.75</v>
      </c>
      <c r="P51" s="1">
        <f>O51*99.7%</f>
        <v>9.7207500000000007</v>
      </c>
      <c r="Q51" s="1">
        <f>O51*102%</f>
        <v>9.9450000000000003</v>
      </c>
      <c r="R51" s="1">
        <f>O51*103.9%</f>
        <v>10.130250000000002</v>
      </c>
      <c r="S51" s="1">
        <v>6.1459999999999999</v>
      </c>
      <c r="T51" s="1">
        <f t="shared" si="2"/>
        <v>63.225574158372545</v>
      </c>
      <c r="U51" s="1">
        <f t="shared" si="3"/>
        <v>61.799899446958271</v>
      </c>
      <c r="V51" s="1">
        <f t="shared" si="4"/>
        <v>60.669776165445064</v>
      </c>
    </row>
    <row r="52" spans="3:22" x14ac:dyDescent="0.3">
      <c r="D52" s="20" t="s">
        <v>32</v>
      </c>
      <c r="E52" s="17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1"/>
      <c r="Q52" s="1"/>
      <c r="R52" s="1"/>
      <c r="S52" s="1"/>
      <c r="T52" s="1"/>
      <c r="U52" s="1"/>
      <c r="V52" s="1"/>
    </row>
    <row r="53" spans="3:22" ht="56.25" x14ac:dyDescent="0.3">
      <c r="D53" s="29" t="s">
        <v>129</v>
      </c>
      <c r="E53" s="31" t="s">
        <v>26</v>
      </c>
      <c r="F53" s="24">
        <v>1790</v>
      </c>
      <c r="G53" s="24">
        <v>1801</v>
      </c>
      <c r="H53" s="24">
        <v>1590</v>
      </c>
      <c r="I53" s="24">
        <v>1610</v>
      </c>
      <c r="J53" s="24">
        <v>1630</v>
      </c>
      <c r="K53" s="24">
        <v>1610</v>
      </c>
      <c r="L53" s="24">
        <v>1630</v>
      </c>
      <c r="M53" s="24">
        <v>1650</v>
      </c>
      <c r="N53" s="24">
        <v>1690</v>
      </c>
      <c r="O53" s="24">
        <v>1619.02</v>
      </c>
      <c r="P53" s="1">
        <f>O53*99.7%</f>
        <v>1614.1629399999999</v>
      </c>
      <c r="Q53" s="1">
        <f>O53*104.5%</f>
        <v>1691.8758999999998</v>
      </c>
      <c r="R53" s="1">
        <f>O53*105.1%</f>
        <v>1701.5900199999999</v>
      </c>
      <c r="S53" s="1">
        <v>530.70000000000005</v>
      </c>
      <c r="T53" s="1">
        <f t="shared" si="2"/>
        <v>32.877721749701436</v>
      </c>
      <c r="U53" s="1">
        <f t="shared" si="3"/>
        <v>31.367548884643377</v>
      </c>
      <c r="V53" s="1">
        <f t="shared" si="4"/>
        <v>31.188476293484612</v>
      </c>
    </row>
    <row r="54" spans="3:22" ht="75" x14ac:dyDescent="0.3">
      <c r="D54" s="29" t="s">
        <v>33</v>
      </c>
      <c r="E54" s="31" t="s">
        <v>28</v>
      </c>
      <c r="F54" s="27">
        <v>1.133</v>
      </c>
      <c r="G54" s="27">
        <v>0.98399999999999999</v>
      </c>
      <c r="H54" s="27">
        <v>0.99371273577240871</v>
      </c>
      <c r="I54" s="27">
        <v>0.97550926430847906</v>
      </c>
      <c r="J54" s="27">
        <v>0.97441998098984339</v>
      </c>
      <c r="K54" s="27">
        <v>0.97363328495403967</v>
      </c>
      <c r="L54" s="27">
        <v>0.97535872856305128</v>
      </c>
      <c r="M54" s="27">
        <v>0.97427328070289387</v>
      </c>
      <c r="N54" s="27">
        <v>0.93799999999999994</v>
      </c>
      <c r="O54" s="27">
        <v>0.95799999999999996</v>
      </c>
      <c r="P54" s="9">
        <f>P53/O53</f>
        <v>0.997</v>
      </c>
      <c r="Q54" s="9">
        <f>Q53/O53</f>
        <v>1.0449999999999999</v>
      </c>
      <c r="R54" s="9">
        <f>R53/O53</f>
        <v>1.0509999999999999</v>
      </c>
      <c r="S54" s="9">
        <v>1.081</v>
      </c>
      <c r="T54" s="1">
        <f t="shared" si="2"/>
        <v>108.42527582748245</v>
      </c>
      <c r="U54" s="1">
        <f t="shared" si="3"/>
        <v>103.44497607655502</v>
      </c>
      <c r="V54" s="1">
        <f t="shared" si="4"/>
        <v>102.85442435775451</v>
      </c>
    </row>
    <row r="55" spans="3:22" ht="37.5" x14ac:dyDescent="0.3">
      <c r="D55" s="23" t="s">
        <v>130</v>
      </c>
      <c r="E55" s="17" t="s">
        <v>96</v>
      </c>
      <c r="F55" s="24">
        <v>61</v>
      </c>
      <c r="G55" s="24">
        <v>61.8</v>
      </c>
      <c r="H55" s="24">
        <v>58</v>
      </c>
      <c r="I55" s="24">
        <v>59</v>
      </c>
      <c r="J55" s="24">
        <v>59</v>
      </c>
      <c r="K55" s="24">
        <v>59</v>
      </c>
      <c r="L55" s="24">
        <v>59</v>
      </c>
      <c r="M55" s="24">
        <v>60</v>
      </c>
      <c r="N55" s="24">
        <v>63.9</v>
      </c>
      <c r="O55" s="24">
        <v>54.31</v>
      </c>
      <c r="P55" s="1">
        <f>O55*99.7%</f>
        <v>54.147069999999999</v>
      </c>
      <c r="Q55" s="1">
        <f>O55*104.5%</f>
        <v>56.753949999999996</v>
      </c>
      <c r="R55" s="1">
        <f>O55*105.1%</f>
        <v>57.079810000000002</v>
      </c>
      <c r="S55" s="1">
        <v>49.5</v>
      </c>
      <c r="T55" s="1">
        <f t="shared" si="2"/>
        <v>91.417688898032708</v>
      </c>
      <c r="U55" s="1">
        <f t="shared" si="3"/>
        <v>87.218598881663752</v>
      </c>
      <c r="V55" s="1">
        <f t="shared" si="4"/>
        <v>86.720681095469658</v>
      </c>
    </row>
    <row r="56" spans="3:22" ht="75" x14ac:dyDescent="0.3">
      <c r="D56" s="23" t="s">
        <v>34</v>
      </c>
      <c r="E56" s="17" t="s">
        <v>28</v>
      </c>
      <c r="F56" s="27">
        <v>1.0720000000000001</v>
      </c>
      <c r="G56" s="27">
        <v>1.01</v>
      </c>
      <c r="H56" s="27">
        <v>0.9624639076034649</v>
      </c>
      <c r="I56" s="27">
        <v>0.98000132881536095</v>
      </c>
      <c r="J56" s="27">
        <v>0.9624639076034649</v>
      </c>
      <c r="K56" s="27">
        <v>0.97811671087533147</v>
      </c>
      <c r="L56" s="27">
        <v>0.96339113680154143</v>
      </c>
      <c r="M56" s="27">
        <v>0.97877685518996427</v>
      </c>
      <c r="N56" s="27">
        <v>1.1020000000000001</v>
      </c>
      <c r="O56" s="27">
        <v>0.85</v>
      </c>
      <c r="P56" s="9">
        <f>P55/O55</f>
        <v>0.997</v>
      </c>
      <c r="Q56" s="9">
        <f>Q55/O55</f>
        <v>1.0449999999999999</v>
      </c>
      <c r="R56" s="9">
        <f>R55/O55</f>
        <v>1.0509999999999999</v>
      </c>
      <c r="S56" s="9">
        <v>0.98499999999999999</v>
      </c>
      <c r="T56" s="1">
        <f t="shared" si="2"/>
        <v>98.796389167502511</v>
      </c>
      <c r="U56" s="1">
        <f t="shared" si="3"/>
        <v>94.258373205741634</v>
      </c>
      <c r="V56" s="1">
        <f t="shared" si="4"/>
        <v>93.720266412940063</v>
      </c>
    </row>
    <row r="57" spans="3:22" ht="37.5" x14ac:dyDescent="0.3">
      <c r="D57" s="29" t="s">
        <v>131</v>
      </c>
      <c r="E57" s="31" t="s">
        <v>140</v>
      </c>
      <c r="F57" s="32">
        <v>0.71</v>
      </c>
      <c r="G57" s="32">
        <v>0.8</v>
      </c>
      <c r="H57" s="32">
        <v>0.71</v>
      </c>
      <c r="I57" s="32">
        <v>0.73</v>
      </c>
      <c r="J57" s="32">
        <v>0.75</v>
      </c>
      <c r="K57" s="32">
        <v>0.73</v>
      </c>
      <c r="L57" s="32">
        <v>0.75</v>
      </c>
      <c r="M57" s="32">
        <v>0.78</v>
      </c>
      <c r="N57" s="32">
        <v>0.86</v>
      </c>
      <c r="O57" s="32">
        <v>0.9</v>
      </c>
      <c r="P57" s="1">
        <f>O57*99.7%</f>
        <v>0.89729999999999999</v>
      </c>
      <c r="Q57" s="1">
        <f>O57*103%</f>
        <v>0.92700000000000005</v>
      </c>
      <c r="R57" s="1">
        <f>O57*103.5%</f>
        <v>0.93149999999999999</v>
      </c>
      <c r="S57" s="1">
        <v>0.51600000000000001</v>
      </c>
      <c r="T57" s="1">
        <f t="shared" si="2"/>
        <v>57.505850885991308</v>
      </c>
      <c r="U57" s="1">
        <f t="shared" si="3"/>
        <v>55.663430420711968</v>
      </c>
      <c r="V57" s="1">
        <f t="shared" si="4"/>
        <v>55.394524959742355</v>
      </c>
    </row>
    <row r="58" spans="3:22" ht="75" x14ac:dyDescent="0.3">
      <c r="D58" s="29" t="s">
        <v>35</v>
      </c>
      <c r="E58" s="17" t="s">
        <v>28</v>
      </c>
      <c r="F58" s="27">
        <v>0.99160000000000004</v>
      </c>
      <c r="G58" s="27">
        <v>0.99199999999999999</v>
      </c>
      <c r="H58" s="27">
        <v>0.98279418075107638</v>
      </c>
      <c r="I58" s="27">
        <v>0.9820143400998157</v>
      </c>
      <c r="J58" s="27">
        <v>0.9822153539904136</v>
      </c>
      <c r="K58" s="27">
        <v>0.98483622038745877</v>
      </c>
      <c r="L58" s="27">
        <v>0.9822153539904136</v>
      </c>
      <c r="M58" s="27">
        <v>0.99426386233269592</v>
      </c>
      <c r="N58" s="27">
        <v>1.1779999999999999</v>
      </c>
      <c r="O58" s="27">
        <v>1.046</v>
      </c>
      <c r="P58" s="9">
        <f>P57/O57</f>
        <v>0.997</v>
      </c>
      <c r="Q58" s="9">
        <f>Q57/O57</f>
        <v>1.03</v>
      </c>
      <c r="R58" s="9">
        <f>R57/O57</f>
        <v>1.0349999999999999</v>
      </c>
      <c r="S58" s="9">
        <v>1.026</v>
      </c>
      <c r="T58" s="1">
        <f t="shared" si="2"/>
        <v>102.90872617853562</v>
      </c>
      <c r="U58" s="1">
        <f t="shared" si="3"/>
        <v>99.611650485436897</v>
      </c>
      <c r="V58" s="1">
        <f t="shared" si="4"/>
        <v>99.130434782608702</v>
      </c>
    </row>
    <row r="59" spans="3:22" ht="37.5" x14ac:dyDescent="0.3">
      <c r="D59" s="20" t="s">
        <v>116</v>
      </c>
      <c r="E59" s="17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1"/>
      <c r="Q59" s="1"/>
      <c r="R59" s="1"/>
      <c r="S59" s="1"/>
      <c r="T59" s="1"/>
      <c r="U59" s="1"/>
      <c r="V59" s="1"/>
    </row>
    <row r="60" spans="3:22" ht="37.5" x14ac:dyDescent="0.3">
      <c r="D60" s="29" t="s">
        <v>98</v>
      </c>
      <c r="E60" s="17" t="s">
        <v>36</v>
      </c>
      <c r="F60" s="33">
        <v>1885</v>
      </c>
      <c r="G60" s="33">
        <v>1869</v>
      </c>
      <c r="H60" s="33">
        <v>1630</v>
      </c>
      <c r="I60" s="33">
        <v>1640</v>
      </c>
      <c r="J60" s="33">
        <v>1645</v>
      </c>
      <c r="K60" s="33">
        <v>1640</v>
      </c>
      <c r="L60" s="33">
        <v>1645</v>
      </c>
      <c r="M60" s="33">
        <v>1650</v>
      </c>
      <c r="N60" s="33">
        <v>1631</v>
      </c>
      <c r="O60" s="33">
        <v>1516</v>
      </c>
      <c r="P60" s="34">
        <f>O60*99.7%</f>
        <v>1511.452</v>
      </c>
      <c r="Q60" s="34">
        <f>O60*100.01%</f>
        <v>1516.1515999999999</v>
      </c>
      <c r="R60" s="34">
        <f t="shared" ref="R60" si="7">Q60*100.1%</f>
        <v>1517.6677515999997</v>
      </c>
      <c r="S60" s="34">
        <v>1352</v>
      </c>
      <c r="T60" s="1">
        <f t="shared" si="2"/>
        <v>89.450409275319359</v>
      </c>
      <c r="U60" s="1">
        <f t="shared" si="3"/>
        <v>89.17314073342007</v>
      </c>
      <c r="V60" s="1">
        <f t="shared" si="4"/>
        <v>89.08405667674333</v>
      </c>
    </row>
    <row r="61" spans="3:22" s="36" customFormat="1" ht="37.5" x14ac:dyDescent="0.3">
      <c r="C61" s="35"/>
      <c r="D61" s="29" t="s">
        <v>99</v>
      </c>
      <c r="E61" s="17" t="s">
        <v>38</v>
      </c>
      <c r="F61" s="24">
        <v>2.19</v>
      </c>
      <c r="G61" s="24">
        <v>2.2000000000000002</v>
      </c>
      <c r="H61" s="24">
        <v>3.8426850000000008</v>
      </c>
      <c r="I61" s="24">
        <v>4.0767535000000006</v>
      </c>
      <c r="J61" s="24">
        <v>4.1885266500000009</v>
      </c>
      <c r="K61" s="24">
        <v>4.0348192500000009</v>
      </c>
      <c r="L61" s="24">
        <v>4.3621262450000007</v>
      </c>
      <c r="M61" s="24">
        <v>4.3979529825000014</v>
      </c>
      <c r="N61" s="24">
        <v>2.0099999999999998</v>
      </c>
      <c r="O61" s="24">
        <v>1.84</v>
      </c>
      <c r="P61" s="1">
        <f>O61*99.7%</f>
        <v>1.8344800000000001</v>
      </c>
      <c r="Q61" s="1">
        <f>O61*102.01%</f>
        <v>1.876984</v>
      </c>
      <c r="R61" s="1">
        <f>Q61*104.1%</f>
        <v>1.9539403439999998</v>
      </c>
      <c r="S61" s="1">
        <v>8.8130000000000006</v>
      </c>
      <c r="T61" s="1">
        <f t="shared" si="2"/>
        <v>480.40861715581525</v>
      </c>
      <c r="U61" s="1">
        <f t="shared" si="3"/>
        <v>469.52984149039094</v>
      </c>
      <c r="V61" s="1">
        <f t="shared" si="4"/>
        <v>451.03731171026993</v>
      </c>
    </row>
    <row r="62" spans="3:22" x14ac:dyDescent="0.3">
      <c r="D62" s="20" t="s">
        <v>117</v>
      </c>
      <c r="E62" s="17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1"/>
      <c r="Q62" s="1"/>
      <c r="R62" s="1"/>
      <c r="S62" s="1"/>
      <c r="T62" s="1"/>
      <c r="U62" s="1"/>
      <c r="V62" s="1"/>
    </row>
    <row r="63" spans="3:22" ht="56.25" x14ac:dyDescent="0.3">
      <c r="D63" s="29" t="s">
        <v>39</v>
      </c>
      <c r="E63" s="17" t="s">
        <v>26</v>
      </c>
      <c r="F63" s="24">
        <v>567.9</v>
      </c>
      <c r="G63" s="24">
        <v>769.3</v>
      </c>
      <c r="H63" s="24">
        <v>440</v>
      </c>
      <c r="I63" s="24">
        <v>470</v>
      </c>
      <c r="J63" s="24">
        <v>490</v>
      </c>
      <c r="K63" s="24">
        <v>440</v>
      </c>
      <c r="L63" s="24">
        <v>470</v>
      </c>
      <c r="M63" s="24">
        <v>490</v>
      </c>
      <c r="N63" s="24">
        <v>1002</v>
      </c>
      <c r="O63" s="24">
        <v>1176</v>
      </c>
      <c r="P63" s="1">
        <f>O63*99.7%</f>
        <v>1172.472</v>
      </c>
      <c r="Q63" s="1">
        <f>O63*100.01%</f>
        <v>1176.1176</v>
      </c>
      <c r="R63" s="1">
        <f t="shared" ref="R63" si="8">Q63*100.1%</f>
        <v>1177.2937175999998</v>
      </c>
      <c r="S63" s="1">
        <v>1291.3</v>
      </c>
      <c r="T63" s="1">
        <f t="shared" si="2"/>
        <v>110.13482624744984</v>
      </c>
      <c r="U63" s="1">
        <f t="shared" si="3"/>
        <v>109.79344242446503</v>
      </c>
      <c r="V63" s="1">
        <f t="shared" si="4"/>
        <v>109.68375866579925</v>
      </c>
    </row>
    <row r="64" spans="3:22" ht="75" x14ac:dyDescent="0.3">
      <c r="D64" s="29" t="s">
        <v>40</v>
      </c>
      <c r="E64" s="17" t="s">
        <v>28</v>
      </c>
      <c r="F64" s="27">
        <v>1.86</v>
      </c>
      <c r="G64" s="27">
        <v>1.355</v>
      </c>
      <c r="H64" s="27">
        <v>1.0744810744810744</v>
      </c>
      <c r="I64" s="27">
        <v>1.0173160173160172</v>
      </c>
      <c r="J64" s="27">
        <v>0.9919630746806487</v>
      </c>
      <c r="K64" s="27">
        <v>0.95419847328244267</v>
      </c>
      <c r="L64" s="27">
        <v>0.95419847328244267</v>
      </c>
      <c r="M64" s="27">
        <v>0.95328884652049573</v>
      </c>
      <c r="N64" s="27">
        <v>1.35</v>
      </c>
      <c r="O64" s="27">
        <v>1.1739999999999999</v>
      </c>
      <c r="P64" s="9">
        <f>P63/O63</f>
        <v>0.997</v>
      </c>
      <c r="Q64" s="9">
        <f>Q63/O63</f>
        <v>1.0001</v>
      </c>
      <c r="R64" s="9">
        <f>R63/O63</f>
        <v>1.0011000999999999</v>
      </c>
      <c r="S64" s="9">
        <v>1.0980000000000001</v>
      </c>
      <c r="T64" s="1">
        <f t="shared" si="2"/>
        <v>110.13039117352056</v>
      </c>
      <c r="U64" s="1">
        <f t="shared" si="3"/>
        <v>109.78902109789021</v>
      </c>
      <c r="V64" s="1">
        <f t="shared" si="4"/>
        <v>109.67934175613409</v>
      </c>
    </row>
    <row r="65" spans="4:22" ht="37.5" x14ac:dyDescent="0.3">
      <c r="D65" s="37" t="s">
        <v>132</v>
      </c>
      <c r="E65" s="5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1"/>
      <c r="Q65" s="1"/>
      <c r="R65" s="1"/>
      <c r="S65" s="1"/>
      <c r="T65" s="1"/>
      <c r="U65" s="1"/>
      <c r="V65" s="1"/>
    </row>
    <row r="66" spans="4:22" ht="37.5" x14ac:dyDescent="0.3">
      <c r="D66" s="38" t="s">
        <v>134</v>
      </c>
      <c r="E66" s="5" t="s">
        <v>6</v>
      </c>
      <c r="F66" s="3">
        <v>1353.08</v>
      </c>
      <c r="G66" s="3">
        <v>1450.42</v>
      </c>
      <c r="H66" s="3">
        <v>1248.981237</v>
      </c>
      <c r="I66" s="3">
        <v>1268.1300000000001</v>
      </c>
      <c r="J66" s="3">
        <v>1287.1519499999999</v>
      </c>
      <c r="K66" s="3">
        <v>1250.4857735999999</v>
      </c>
      <c r="L66" s="3">
        <v>1275.3552</v>
      </c>
      <c r="M66" s="3">
        <v>1300.2246264</v>
      </c>
      <c r="N66" s="3">
        <v>1572</v>
      </c>
      <c r="O66" s="3">
        <v>1790.53</v>
      </c>
      <c r="P66" s="1">
        <f>Q66*99.9%</f>
        <v>2006.1018900000001</v>
      </c>
      <c r="Q66" s="1">
        <v>2008.11</v>
      </c>
      <c r="R66" s="1">
        <f>Q66*100.1%</f>
        <v>2010.1181099999997</v>
      </c>
      <c r="S66" s="1">
        <v>2330.85</v>
      </c>
      <c r="T66" s="1">
        <f t="shared" si="2"/>
        <v>116.18801675123289</v>
      </c>
      <c r="U66" s="1">
        <f t="shared" si="3"/>
        <v>116.07182873448167</v>
      </c>
      <c r="V66" s="1">
        <f t="shared" si="4"/>
        <v>115.95587286162008</v>
      </c>
    </row>
    <row r="67" spans="4:22" x14ac:dyDescent="0.3">
      <c r="D67" s="4" t="s">
        <v>97</v>
      </c>
      <c r="E67" s="5" t="s">
        <v>41</v>
      </c>
      <c r="F67" s="3">
        <v>292.39</v>
      </c>
      <c r="G67" s="3">
        <v>312.37</v>
      </c>
      <c r="H67" s="3">
        <v>253.385223</v>
      </c>
      <c r="I67" s="3">
        <v>257.27</v>
      </c>
      <c r="J67" s="3">
        <v>261.12905000000001</v>
      </c>
      <c r="K67" s="3">
        <v>260.54355859999998</v>
      </c>
      <c r="L67" s="3">
        <v>265.72520000000003</v>
      </c>
      <c r="M67" s="3">
        <v>270.90684140000008</v>
      </c>
      <c r="N67" s="3">
        <v>342.67</v>
      </c>
      <c r="O67" s="3">
        <v>294.63</v>
      </c>
      <c r="P67" s="1">
        <f t="shared" ref="P67:P94" si="9">Q67*99.9%</f>
        <v>327.02265000000006</v>
      </c>
      <c r="Q67" s="1">
        <v>327.35000000000002</v>
      </c>
      <c r="R67" s="1">
        <f t="shared" ref="R67:R94" si="10">Q67*100.1%</f>
        <v>327.67734999999999</v>
      </c>
      <c r="S67" s="1">
        <v>352.34</v>
      </c>
      <c r="T67" s="1">
        <f t="shared" si="2"/>
        <v>107.74177262645262</v>
      </c>
      <c r="U67" s="1">
        <f t="shared" si="3"/>
        <v>107.63403085382618</v>
      </c>
      <c r="V67" s="1">
        <f t="shared" si="4"/>
        <v>107.52650434947671</v>
      </c>
    </row>
    <row r="68" spans="4:22" ht="37.5" x14ac:dyDescent="0.3">
      <c r="D68" s="4" t="s">
        <v>133</v>
      </c>
      <c r="E68" s="5" t="s">
        <v>41</v>
      </c>
      <c r="F68" s="3">
        <v>227.82</v>
      </c>
      <c r="G68" s="3">
        <v>243.69</v>
      </c>
      <c r="H68" s="3">
        <v>213.52632</v>
      </c>
      <c r="I68" s="3">
        <v>216.8</v>
      </c>
      <c r="J68" s="3">
        <v>220.05199999999999</v>
      </c>
      <c r="K68" s="3">
        <v>220.86272360000001</v>
      </c>
      <c r="L68" s="3">
        <v>225.25520000000003</v>
      </c>
      <c r="M68" s="3">
        <v>229.64767640000005</v>
      </c>
      <c r="N68" s="3">
        <v>283.82</v>
      </c>
      <c r="O68" s="3">
        <v>251.73</v>
      </c>
      <c r="P68" s="1">
        <f t="shared" si="9"/>
        <v>279.87984000000006</v>
      </c>
      <c r="Q68" s="1">
        <v>280.16000000000003</v>
      </c>
      <c r="R68" s="1">
        <f t="shared" si="10"/>
        <v>280.44015999999999</v>
      </c>
      <c r="S68" s="1">
        <v>297.47000000000003</v>
      </c>
      <c r="T68" s="1">
        <f t="shared" si="2"/>
        <v>106.28489711870637</v>
      </c>
      <c r="U68" s="1">
        <f t="shared" si="3"/>
        <v>106.17861222158767</v>
      </c>
      <c r="V68" s="1">
        <f t="shared" si="4"/>
        <v>106.07253968190578</v>
      </c>
    </row>
    <row r="69" spans="4:22" x14ac:dyDescent="0.3">
      <c r="D69" s="4" t="s">
        <v>13</v>
      </c>
      <c r="E69" s="5"/>
      <c r="F69" s="3"/>
      <c r="G69" s="3"/>
      <c r="H69" s="3"/>
      <c r="I69" s="3"/>
      <c r="J69" s="3"/>
      <c r="K69" s="3"/>
      <c r="L69" s="3"/>
      <c r="M69" s="3"/>
      <c r="N69" s="3"/>
      <c r="O69" s="3"/>
      <c r="P69" s="1"/>
      <c r="Q69" s="1"/>
      <c r="R69" s="1"/>
      <c r="S69" s="1"/>
      <c r="T69" s="1"/>
      <c r="U69" s="1"/>
      <c r="V69" s="1"/>
    </row>
    <row r="70" spans="4:22" x14ac:dyDescent="0.3">
      <c r="D70" s="4" t="s">
        <v>1</v>
      </c>
      <c r="E70" s="5" t="s">
        <v>41</v>
      </c>
      <c r="F70" s="3">
        <v>125.44</v>
      </c>
      <c r="G70" s="3">
        <v>141.01</v>
      </c>
      <c r="H70" s="3">
        <v>125.96871</v>
      </c>
      <c r="I70" s="3">
        <v>127.9</v>
      </c>
      <c r="J70" s="3">
        <v>129.8185</v>
      </c>
      <c r="K70" s="3">
        <v>130.29678205000002</v>
      </c>
      <c r="L70" s="3">
        <v>132.88810000000004</v>
      </c>
      <c r="M70" s="3">
        <v>135.47941795000006</v>
      </c>
      <c r="N70" s="3">
        <v>156.66999999999999</v>
      </c>
      <c r="O70" s="3">
        <v>147.63999999999999</v>
      </c>
      <c r="P70" s="1">
        <f t="shared" si="9"/>
        <v>170.52930000000001</v>
      </c>
      <c r="Q70" s="1">
        <v>170.7</v>
      </c>
      <c r="R70" s="1">
        <f t="shared" si="10"/>
        <v>170.87069999999997</v>
      </c>
      <c r="S70" s="1">
        <v>167.36</v>
      </c>
      <c r="T70" s="1">
        <f t="shared" si="2"/>
        <v>98.141492400426216</v>
      </c>
      <c r="U70" s="1">
        <f t="shared" si="3"/>
        <v>98.043350908025801</v>
      </c>
      <c r="V70" s="1">
        <f t="shared" si="4"/>
        <v>97.945405502523272</v>
      </c>
    </row>
    <row r="71" spans="4:22" x14ac:dyDescent="0.3">
      <c r="D71" s="4" t="s">
        <v>25</v>
      </c>
      <c r="E71" s="5" t="s">
        <v>41</v>
      </c>
      <c r="F71" s="3">
        <v>30.3</v>
      </c>
      <c r="G71" s="3">
        <v>32.92</v>
      </c>
      <c r="H71" s="3">
        <v>32.866112999999999</v>
      </c>
      <c r="I71" s="3">
        <v>33.369999999999997</v>
      </c>
      <c r="J71" s="3">
        <v>33.870549999999994</v>
      </c>
      <c r="K71" s="3">
        <v>32.719284999999992</v>
      </c>
      <c r="L71" s="3">
        <v>33.369999999999997</v>
      </c>
      <c r="M71" s="3">
        <v>34.020715000000003</v>
      </c>
      <c r="N71" s="3">
        <v>38.56</v>
      </c>
      <c r="O71" s="3">
        <v>36.47</v>
      </c>
      <c r="P71" s="1">
        <f t="shared" si="9"/>
        <v>41.068890000000003</v>
      </c>
      <c r="Q71" s="1">
        <v>41.11</v>
      </c>
      <c r="R71" s="1">
        <f t="shared" si="10"/>
        <v>41.151109999999996</v>
      </c>
      <c r="S71" s="1">
        <v>41.9</v>
      </c>
      <c r="T71" s="1">
        <f t="shared" si="2"/>
        <v>102.02369725600082</v>
      </c>
      <c r="U71" s="1">
        <f t="shared" si="3"/>
        <v>101.92167355874481</v>
      </c>
      <c r="V71" s="1">
        <f t="shared" si="4"/>
        <v>101.8198537050398</v>
      </c>
    </row>
    <row r="72" spans="4:22" x14ac:dyDescent="0.3">
      <c r="D72" s="4" t="s">
        <v>2</v>
      </c>
      <c r="E72" s="5" t="s">
        <v>41</v>
      </c>
      <c r="F72" s="3">
        <v>3.56</v>
      </c>
      <c r="G72" s="3">
        <v>5.28</v>
      </c>
      <c r="H72" s="3">
        <v>3.7524690000000001</v>
      </c>
      <c r="I72" s="3">
        <v>3.81</v>
      </c>
      <c r="J72" s="3">
        <v>3.8671499999999996</v>
      </c>
      <c r="K72" s="3">
        <v>3.7357049999999998</v>
      </c>
      <c r="L72" s="3">
        <v>3.81</v>
      </c>
      <c r="M72" s="3">
        <v>3.8842950000000003</v>
      </c>
      <c r="N72" s="3">
        <v>6.27</v>
      </c>
      <c r="O72" s="3">
        <v>7.43</v>
      </c>
      <c r="P72" s="1">
        <f t="shared" si="9"/>
        <v>8.6213700000000024</v>
      </c>
      <c r="Q72" s="1">
        <v>8.6300000000000008</v>
      </c>
      <c r="R72" s="1">
        <f t="shared" si="10"/>
        <v>8.6386299999999991</v>
      </c>
      <c r="S72" s="1">
        <v>11.36</v>
      </c>
      <c r="T72" s="1">
        <f t="shared" si="2"/>
        <v>131.76560105876439</v>
      </c>
      <c r="U72" s="1">
        <f t="shared" si="3"/>
        <v>131.63383545770566</v>
      </c>
      <c r="V72" s="1">
        <f t="shared" si="4"/>
        <v>131.5023331245811</v>
      </c>
    </row>
    <row r="73" spans="4:22" x14ac:dyDescent="0.3">
      <c r="D73" s="4" t="s">
        <v>3</v>
      </c>
      <c r="E73" s="5" t="s">
        <v>41</v>
      </c>
      <c r="F73" s="3">
        <v>39.83</v>
      </c>
      <c r="G73" s="3">
        <v>35.729999999999997</v>
      </c>
      <c r="H73" s="3">
        <v>34.156331999999999</v>
      </c>
      <c r="I73" s="3">
        <v>34.68</v>
      </c>
      <c r="J73" s="3">
        <v>35.200199999999995</v>
      </c>
      <c r="K73" s="3">
        <v>34.003740000000001</v>
      </c>
      <c r="L73" s="3">
        <v>34.68</v>
      </c>
      <c r="M73" s="3">
        <v>35.356259999999999</v>
      </c>
      <c r="N73" s="3">
        <v>38.54</v>
      </c>
      <c r="O73" s="3">
        <v>34.86</v>
      </c>
      <c r="P73" s="1">
        <f t="shared" si="9"/>
        <v>35.764200000000002</v>
      </c>
      <c r="Q73" s="1">
        <v>35.799999999999997</v>
      </c>
      <c r="R73" s="1">
        <f t="shared" si="10"/>
        <v>35.835799999999992</v>
      </c>
      <c r="S73" s="1">
        <v>36.6</v>
      </c>
      <c r="T73" s="1">
        <f t="shared" si="2"/>
        <v>102.33697384535374</v>
      </c>
      <c r="U73" s="1">
        <f t="shared" si="3"/>
        <v>102.2346368715084</v>
      </c>
      <c r="V73" s="1">
        <f t="shared" si="4"/>
        <v>102.13250436714128</v>
      </c>
    </row>
    <row r="74" spans="4:22" x14ac:dyDescent="0.3">
      <c r="D74" s="4" t="s">
        <v>4</v>
      </c>
      <c r="E74" s="5" t="s">
        <v>41</v>
      </c>
      <c r="F74" s="3">
        <v>64.569999999999993</v>
      </c>
      <c r="G74" s="3">
        <v>68.680000000000007</v>
      </c>
      <c r="H74" s="3">
        <v>39.858902999999998</v>
      </c>
      <c r="I74" s="3">
        <v>40.47</v>
      </c>
      <c r="J74" s="3">
        <v>41.077049999999993</v>
      </c>
      <c r="K74" s="3">
        <v>39.680834999999995</v>
      </c>
      <c r="L74" s="3">
        <v>40.47</v>
      </c>
      <c r="M74" s="3">
        <v>41.259165000000003</v>
      </c>
      <c r="N74" s="3">
        <v>58.85</v>
      </c>
      <c r="O74" s="3">
        <v>42.9</v>
      </c>
      <c r="P74" s="1">
        <f t="shared" si="9"/>
        <v>47.142810000000004</v>
      </c>
      <c r="Q74" s="1">
        <v>47.19</v>
      </c>
      <c r="R74" s="1">
        <f t="shared" si="10"/>
        <v>47.237189999999991</v>
      </c>
      <c r="S74" s="1">
        <v>54.87</v>
      </c>
      <c r="T74" s="1">
        <f t="shared" si="2"/>
        <v>116.39102548193456</v>
      </c>
      <c r="U74" s="1">
        <f t="shared" si="3"/>
        <v>116.27463445645263</v>
      </c>
      <c r="V74" s="1">
        <f t="shared" si="4"/>
        <v>116.15847598047218</v>
      </c>
    </row>
    <row r="75" spans="4:22" x14ac:dyDescent="0.3">
      <c r="D75" s="4" t="s">
        <v>67</v>
      </c>
      <c r="E75" s="5" t="s">
        <v>41</v>
      </c>
      <c r="F75" s="3">
        <v>1060.69</v>
      </c>
      <c r="G75" s="3">
        <v>1138.05</v>
      </c>
      <c r="H75" s="3">
        <v>995.59601399999997</v>
      </c>
      <c r="I75" s="3">
        <v>1010.86</v>
      </c>
      <c r="J75" s="3">
        <v>1026.0228999999999</v>
      </c>
      <c r="K75" s="3">
        <v>989.94221499999992</v>
      </c>
      <c r="L75" s="3">
        <v>1009.63</v>
      </c>
      <c r="M75" s="3">
        <v>1029.317785</v>
      </c>
      <c r="N75" s="3">
        <v>1229.33</v>
      </c>
      <c r="O75" s="3">
        <v>1495.9</v>
      </c>
      <c r="P75" s="1">
        <f t="shared" si="9"/>
        <v>1679.0892300000003</v>
      </c>
      <c r="Q75" s="1">
        <v>1680.77</v>
      </c>
      <c r="R75" s="1">
        <f t="shared" si="10"/>
        <v>1682.4507699999997</v>
      </c>
      <c r="S75" s="1">
        <v>1978.51</v>
      </c>
      <c r="T75" s="1">
        <f t="shared" si="2"/>
        <v>117.83233223406475</v>
      </c>
      <c r="U75" s="1">
        <f t="shared" si="3"/>
        <v>117.71449990183072</v>
      </c>
      <c r="V75" s="1">
        <f t="shared" si="4"/>
        <v>117.59690299883189</v>
      </c>
    </row>
    <row r="76" spans="4:22" x14ac:dyDescent="0.3">
      <c r="D76" s="4" t="s">
        <v>13</v>
      </c>
      <c r="E76" s="5"/>
      <c r="F76" s="3"/>
      <c r="G76" s="3"/>
      <c r="H76" s="3"/>
      <c r="I76" s="3"/>
      <c r="J76" s="3"/>
      <c r="K76" s="3"/>
      <c r="L76" s="3"/>
      <c r="M76" s="3"/>
      <c r="N76" s="3"/>
      <c r="O76" s="3"/>
      <c r="P76" s="1"/>
      <c r="Q76" s="1"/>
      <c r="R76" s="1"/>
      <c r="S76" s="1"/>
      <c r="T76" s="1"/>
      <c r="U76" s="1"/>
      <c r="V76" s="1"/>
    </row>
    <row r="77" spans="4:22" x14ac:dyDescent="0.3">
      <c r="D77" s="4" t="s">
        <v>70</v>
      </c>
      <c r="E77" s="5" t="s">
        <v>41</v>
      </c>
      <c r="F77" s="3">
        <v>181.41</v>
      </c>
      <c r="G77" s="3">
        <v>237.31</v>
      </c>
      <c r="H77" s="3">
        <v>116.326539</v>
      </c>
      <c r="I77" s="3">
        <v>118.11</v>
      </c>
      <c r="J77" s="3">
        <v>119.88164999999999</v>
      </c>
      <c r="K77" s="3">
        <v>115.80685499999998</v>
      </c>
      <c r="L77" s="3">
        <v>118.11</v>
      </c>
      <c r="M77" s="3">
        <v>120.41314500000001</v>
      </c>
      <c r="N77" s="3">
        <v>298.99</v>
      </c>
      <c r="O77" s="3">
        <v>125.38</v>
      </c>
      <c r="P77" s="1">
        <f t="shared" si="9"/>
        <v>274.15557000000001</v>
      </c>
      <c r="Q77" s="1">
        <v>274.43</v>
      </c>
      <c r="R77" s="1">
        <f t="shared" si="10"/>
        <v>274.70443</v>
      </c>
      <c r="S77" s="1">
        <v>324.43</v>
      </c>
      <c r="T77" s="1">
        <f t="shared" si="2"/>
        <v>118.33792032749872</v>
      </c>
      <c r="U77" s="1">
        <f t="shared" si="3"/>
        <v>118.21958240717123</v>
      </c>
      <c r="V77" s="1">
        <f t="shared" si="4"/>
        <v>118.10148092624499</v>
      </c>
    </row>
    <row r="78" spans="4:22" x14ac:dyDescent="0.3">
      <c r="D78" s="4" t="s">
        <v>71</v>
      </c>
      <c r="E78" s="5" t="s">
        <v>41</v>
      </c>
      <c r="F78" s="3">
        <v>692.44</v>
      </c>
      <c r="G78" s="3">
        <v>705.56</v>
      </c>
      <c r="H78" s="3">
        <v>725.61522600000001</v>
      </c>
      <c r="I78" s="3">
        <v>736.74</v>
      </c>
      <c r="J78" s="3">
        <v>747.79109999999991</v>
      </c>
      <c r="K78" s="3">
        <v>721.16755499999999</v>
      </c>
      <c r="L78" s="3">
        <v>735.51</v>
      </c>
      <c r="M78" s="3">
        <v>749.85244499999999</v>
      </c>
      <c r="N78" s="3">
        <v>698.56</v>
      </c>
      <c r="O78" s="3">
        <v>911.86</v>
      </c>
      <c r="P78" s="1">
        <f t="shared" si="9"/>
        <v>912.65643000000011</v>
      </c>
      <c r="Q78" s="1">
        <v>913.57</v>
      </c>
      <c r="R78" s="1">
        <f t="shared" si="10"/>
        <v>914.48356999999999</v>
      </c>
      <c r="S78" s="1">
        <v>1167.8800000000001</v>
      </c>
      <c r="T78" s="1">
        <f t="shared" si="2"/>
        <v>127.96491227262817</v>
      </c>
      <c r="U78" s="1">
        <f t="shared" si="3"/>
        <v>127.83694736035554</v>
      </c>
      <c r="V78" s="1">
        <f t="shared" si="4"/>
        <v>127.70923812223332</v>
      </c>
    </row>
    <row r="79" spans="4:22" x14ac:dyDescent="0.3">
      <c r="D79" s="4" t="s">
        <v>68</v>
      </c>
      <c r="E79" s="5" t="s">
        <v>41</v>
      </c>
      <c r="F79" s="3">
        <v>185.67</v>
      </c>
      <c r="G79" s="3">
        <v>197.78</v>
      </c>
      <c r="H79" s="3">
        <v>152.26553999999999</v>
      </c>
      <c r="I79" s="3">
        <v>154.6</v>
      </c>
      <c r="J79" s="3">
        <v>156.91899999999998</v>
      </c>
      <c r="K79" s="3">
        <v>151.58529999999999</v>
      </c>
      <c r="L79" s="3">
        <v>154.6</v>
      </c>
      <c r="M79" s="3">
        <v>157.6147</v>
      </c>
      <c r="N79" s="3">
        <v>223.7</v>
      </c>
      <c r="O79" s="3">
        <v>446.81</v>
      </c>
      <c r="P79" s="1">
        <f t="shared" si="9"/>
        <v>449.10045000000008</v>
      </c>
      <c r="Q79" s="1">
        <v>449.55</v>
      </c>
      <c r="R79" s="1">
        <f t="shared" si="10"/>
        <v>449.99954999999994</v>
      </c>
      <c r="S79" s="1">
        <v>455.07</v>
      </c>
      <c r="T79" s="1">
        <f t="shared" ref="T79:T118" si="11">S79/P79*100</f>
        <v>101.32922378501289</v>
      </c>
      <c r="U79" s="1">
        <f t="shared" ref="U79:U118" si="12">S79/Q79*100</f>
        <v>101.2278945612279</v>
      </c>
      <c r="V79" s="1">
        <f t="shared" ref="V79:V118" si="13">S79/R79*100</f>
        <v>101.12676779343448</v>
      </c>
    </row>
    <row r="80" spans="4:22" x14ac:dyDescent="0.3">
      <c r="D80" s="4" t="s">
        <v>13</v>
      </c>
      <c r="E80" s="39"/>
      <c r="F80" s="3"/>
      <c r="G80" s="3"/>
      <c r="H80" s="3"/>
      <c r="I80" s="3"/>
      <c r="J80" s="3"/>
      <c r="K80" s="3"/>
      <c r="L80" s="3"/>
      <c r="M80" s="3"/>
      <c r="N80" s="3"/>
      <c r="O80" s="3"/>
      <c r="P80" s="1"/>
      <c r="Q80" s="1"/>
      <c r="R80" s="1"/>
      <c r="S80" s="1"/>
      <c r="T80" s="1"/>
      <c r="U80" s="1"/>
      <c r="V80" s="1"/>
    </row>
    <row r="81" spans="3:22" x14ac:dyDescent="0.3">
      <c r="D81" s="4" t="s">
        <v>69</v>
      </c>
      <c r="E81" s="5" t="s">
        <v>41</v>
      </c>
      <c r="F81" s="3">
        <v>183.83</v>
      </c>
      <c r="G81" s="3">
        <v>195.48</v>
      </c>
      <c r="H81" s="3">
        <v>152.11780499999998</v>
      </c>
      <c r="I81" s="3">
        <v>154.44999999999999</v>
      </c>
      <c r="J81" s="3">
        <v>156.76674999999997</v>
      </c>
      <c r="K81" s="3">
        <v>151.43822499999999</v>
      </c>
      <c r="L81" s="3">
        <v>154.44999999999999</v>
      </c>
      <c r="M81" s="3">
        <v>157.46177499999999</v>
      </c>
      <c r="N81" s="3">
        <v>221.15</v>
      </c>
      <c r="O81" s="3">
        <v>417.53</v>
      </c>
      <c r="P81" s="1">
        <f t="shared" si="9"/>
        <v>449.10045000000008</v>
      </c>
      <c r="Q81" s="1">
        <v>449.55</v>
      </c>
      <c r="R81" s="1">
        <f t="shared" si="10"/>
        <v>449.99954999999994</v>
      </c>
      <c r="S81" s="1">
        <v>455.07</v>
      </c>
      <c r="T81" s="1">
        <f t="shared" si="11"/>
        <v>101.32922378501289</v>
      </c>
      <c r="U81" s="1">
        <f t="shared" si="12"/>
        <v>101.2278945612279</v>
      </c>
      <c r="V81" s="1">
        <f t="shared" si="13"/>
        <v>101.12676779343448</v>
      </c>
    </row>
    <row r="82" spans="3:22" ht="37.5" x14ac:dyDescent="0.3">
      <c r="D82" s="38" t="s">
        <v>135</v>
      </c>
      <c r="E82" s="5" t="s">
        <v>41</v>
      </c>
      <c r="F82" s="3">
        <v>1337.75</v>
      </c>
      <c r="G82" s="3">
        <v>1454.44</v>
      </c>
      <c r="H82" s="3">
        <v>1248.981237</v>
      </c>
      <c r="I82" s="3">
        <v>1268.1300000000001</v>
      </c>
      <c r="J82" s="3">
        <v>1287.1519499999999</v>
      </c>
      <c r="K82" s="3">
        <v>1250.4904799999997</v>
      </c>
      <c r="L82" s="3">
        <v>1275.3599999999999</v>
      </c>
      <c r="M82" s="3">
        <v>1300.2177800000002</v>
      </c>
      <c r="N82" s="3">
        <v>1540.62</v>
      </c>
      <c r="O82" s="3">
        <v>1920.77</v>
      </c>
      <c r="P82" s="1">
        <f t="shared" si="9"/>
        <v>2006.1018900000001</v>
      </c>
      <c r="Q82" s="1">
        <v>2008.11</v>
      </c>
      <c r="R82" s="1">
        <f t="shared" si="10"/>
        <v>2010.1181099999997</v>
      </c>
      <c r="S82" s="1">
        <v>2416.11</v>
      </c>
      <c r="T82" s="1">
        <f t="shared" si="11"/>
        <v>120.43805013313656</v>
      </c>
      <c r="U82" s="1">
        <f t="shared" si="12"/>
        <v>120.31761208300344</v>
      </c>
      <c r="V82" s="1">
        <f t="shared" si="13"/>
        <v>120.19741466833511</v>
      </c>
    </row>
    <row r="83" spans="3:22" x14ac:dyDescent="0.3">
      <c r="D83" s="38" t="s">
        <v>0</v>
      </c>
      <c r="E83" s="5"/>
      <c r="F83" s="3"/>
      <c r="G83" s="3"/>
      <c r="H83" s="3"/>
      <c r="I83" s="3"/>
      <c r="J83" s="3"/>
      <c r="K83" s="3"/>
      <c r="L83" s="3"/>
      <c r="M83" s="3"/>
      <c r="N83" s="3"/>
      <c r="O83" s="3"/>
      <c r="P83" s="1"/>
      <c r="Q83" s="1"/>
      <c r="R83" s="1"/>
      <c r="S83" s="1"/>
      <c r="T83" s="1"/>
      <c r="U83" s="1"/>
      <c r="V83" s="1"/>
    </row>
    <row r="84" spans="3:22" x14ac:dyDescent="0.3">
      <c r="D84" s="4" t="s">
        <v>72</v>
      </c>
      <c r="E84" s="5" t="s">
        <v>41</v>
      </c>
      <c r="F84" s="3">
        <v>144.86000000000001</v>
      </c>
      <c r="G84" s="3">
        <v>148.34</v>
      </c>
      <c r="H84" s="3">
        <v>123.693591</v>
      </c>
      <c r="I84" s="3">
        <v>125.59</v>
      </c>
      <c r="J84" s="3">
        <v>127.47384999999998</v>
      </c>
      <c r="K84" s="3">
        <v>123.61163499999998</v>
      </c>
      <c r="L84" s="3">
        <v>126.07</v>
      </c>
      <c r="M84" s="3">
        <v>128.52836500000001</v>
      </c>
      <c r="N84" s="3">
        <v>166.62</v>
      </c>
      <c r="O84" s="3">
        <v>195.61</v>
      </c>
      <c r="P84" s="1">
        <f t="shared" si="9"/>
        <v>205.19460000000004</v>
      </c>
      <c r="Q84" s="1">
        <v>205.4</v>
      </c>
      <c r="R84" s="1">
        <f t="shared" si="10"/>
        <v>205.60539999999997</v>
      </c>
      <c r="S84" s="1">
        <v>200.18</v>
      </c>
      <c r="T84" s="1">
        <f t="shared" si="11"/>
        <v>97.556173505540585</v>
      </c>
      <c r="U84" s="1">
        <f t="shared" si="12"/>
        <v>97.458617332035061</v>
      </c>
      <c r="V84" s="1">
        <f t="shared" si="13"/>
        <v>97.361256075959119</v>
      </c>
    </row>
    <row r="85" spans="3:22" x14ac:dyDescent="0.3">
      <c r="D85" s="4" t="s">
        <v>73</v>
      </c>
      <c r="E85" s="5" t="s">
        <v>41</v>
      </c>
      <c r="F85" s="3">
        <v>1.69</v>
      </c>
      <c r="G85" s="3">
        <v>1.93</v>
      </c>
      <c r="H85" s="3">
        <v>1.6644809999999999</v>
      </c>
      <c r="I85" s="3">
        <v>1.69</v>
      </c>
      <c r="J85" s="3">
        <v>1.7153499999999997</v>
      </c>
      <c r="K85" s="3">
        <v>1.6570449999999999</v>
      </c>
      <c r="L85" s="3">
        <v>1.69</v>
      </c>
      <c r="M85" s="3">
        <v>1.722955</v>
      </c>
      <c r="N85" s="3">
        <v>2.21</v>
      </c>
      <c r="O85" s="3">
        <v>2.89</v>
      </c>
      <c r="P85" s="1">
        <f t="shared" si="9"/>
        <v>4.8151800000000007</v>
      </c>
      <c r="Q85" s="1">
        <v>4.82</v>
      </c>
      <c r="R85" s="1">
        <f t="shared" si="10"/>
        <v>4.8248199999999999</v>
      </c>
      <c r="S85" s="1">
        <v>2.4300000000000002</v>
      </c>
      <c r="T85" s="1">
        <f t="shared" si="11"/>
        <v>50.465403162498589</v>
      </c>
      <c r="U85" s="1">
        <f t="shared" si="12"/>
        <v>50.414937759336098</v>
      </c>
      <c r="V85" s="1">
        <f t="shared" si="13"/>
        <v>50.364573186149954</v>
      </c>
    </row>
    <row r="86" spans="3:22" ht="37.5" x14ac:dyDescent="0.3">
      <c r="D86" s="4" t="s">
        <v>74</v>
      </c>
      <c r="E86" s="5" t="s">
        <v>41</v>
      </c>
      <c r="F86" s="3">
        <v>6.41</v>
      </c>
      <c r="G86" s="3">
        <v>4.96</v>
      </c>
      <c r="H86" s="3">
        <v>5.259366</v>
      </c>
      <c r="I86" s="3">
        <v>5.34</v>
      </c>
      <c r="J86" s="3">
        <v>5.4200999999999997</v>
      </c>
      <c r="K86" s="3">
        <v>5.2358699999999994</v>
      </c>
      <c r="L86" s="3">
        <v>5.34</v>
      </c>
      <c r="M86" s="3">
        <v>5.4441300000000004</v>
      </c>
      <c r="N86" s="3">
        <v>4.17</v>
      </c>
      <c r="O86" s="3">
        <v>5.76</v>
      </c>
      <c r="P86" s="1">
        <f t="shared" si="9"/>
        <v>6.4635300000000004</v>
      </c>
      <c r="Q86" s="1">
        <v>6.47</v>
      </c>
      <c r="R86" s="1">
        <f t="shared" si="10"/>
        <v>6.4764699999999991</v>
      </c>
      <c r="S86" s="1">
        <v>6.08</v>
      </c>
      <c r="T86" s="1">
        <f t="shared" si="11"/>
        <v>94.066245534560835</v>
      </c>
      <c r="U86" s="1">
        <f t="shared" si="12"/>
        <v>93.972179289026286</v>
      </c>
      <c r="V86" s="1">
        <f t="shared" si="13"/>
        <v>93.878300988038248</v>
      </c>
    </row>
    <row r="87" spans="3:22" x14ac:dyDescent="0.3">
      <c r="D87" s="4" t="s">
        <v>75</v>
      </c>
      <c r="E87" s="5" t="s">
        <v>41</v>
      </c>
      <c r="F87" s="3">
        <v>63.5</v>
      </c>
      <c r="G87" s="3">
        <v>79.709999999999994</v>
      </c>
      <c r="H87" s="3">
        <v>80.879987999999997</v>
      </c>
      <c r="I87" s="3">
        <v>82.12</v>
      </c>
      <c r="J87" s="3">
        <v>83.351799999999997</v>
      </c>
      <c r="K87" s="3">
        <v>80.95008</v>
      </c>
      <c r="L87" s="3">
        <v>82.56</v>
      </c>
      <c r="M87" s="3">
        <v>84.169920000000005</v>
      </c>
      <c r="N87" s="3">
        <v>105.42</v>
      </c>
      <c r="O87" s="3">
        <v>110.84</v>
      </c>
      <c r="P87" s="1">
        <f t="shared" si="9"/>
        <v>52.587360000000004</v>
      </c>
      <c r="Q87" s="1">
        <v>52.64</v>
      </c>
      <c r="R87" s="1">
        <f t="shared" si="10"/>
        <v>52.692639999999997</v>
      </c>
      <c r="S87" s="1">
        <v>257.27999999999997</v>
      </c>
      <c r="T87" s="1">
        <f t="shared" si="11"/>
        <v>489.24304243453173</v>
      </c>
      <c r="U87" s="1">
        <f t="shared" si="12"/>
        <v>488.75379939209722</v>
      </c>
      <c r="V87" s="1">
        <f t="shared" si="13"/>
        <v>488.26553385823905</v>
      </c>
    </row>
    <row r="88" spans="3:22" x14ac:dyDescent="0.3">
      <c r="D88" s="4" t="s">
        <v>76</v>
      </c>
      <c r="E88" s="5" t="s">
        <v>41</v>
      </c>
      <c r="F88" s="3">
        <v>25.8</v>
      </c>
      <c r="G88" s="3">
        <v>30.57</v>
      </c>
      <c r="H88" s="3">
        <v>15.975077999999998</v>
      </c>
      <c r="I88" s="3">
        <v>16.22</v>
      </c>
      <c r="J88" s="3">
        <v>16.463299999999997</v>
      </c>
      <c r="K88" s="3">
        <v>15.903709999999998</v>
      </c>
      <c r="L88" s="3">
        <v>16.22</v>
      </c>
      <c r="M88" s="3">
        <v>16.536290000000001</v>
      </c>
      <c r="N88" s="3">
        <v>25.83</v>
      </c>
      <c r="O88" s="3">
        <v>64.06</v>
      </c>
      <c r="P88" s="1">
        <f t="shared" si="9"/>
        <v>45.744210000000002</v>
      </c>
      <c r="Q88" s="1">
        <v>45.79</v>
      </c>
      <c r="R88" s="1">
        <f t="shared" si="10"/>
        <v>45.835789999999996</v>
      </c>
      <c r="S88" s="1">
        <v>78.91</v>
      </c>
      <c r="T88" s="1">
        <f t="shared" si="11"/>
        <v>172.50270580692069</v>
      </c>
      <c r="U88" s="1">
        <f t="shared" si="12"/>
        <v>172.33020310111377</v>
      </c>
      <c r="V88" s="1">
        <f t="shared" si="13"/>
        <v>172.15804505605774</v>
      </c>
    </row>
    <row r="89" spans="3:22" x14ac:dyDescent="0.3">
      <c r="D89" s="4" t="s">
        <v>42</v>
      </c>
      <c r="E89" s="5" t="s">
        <v>41</v>
      </c>
      <c r="F89" s="3">
        <v>639.13</v>
      </c>
      <c r="G89" s="3">
        <v>690.79</v>
      </c>
      <c r="H89" s="3">
        <v>606.06806400000005</v>
      </c>
      <c r="I89" s="3">
        <v>615.36</v>
      </c>
      <c r="J89" s="3">
        <v>624.59039999999993</v>
      </c>
      <c r="K89" s="3">
        <v>609.50821499999995</v>
      </c>
      <c r="L89" s="3">
        <v>621.63</v>
      </c>
      <c r="M89" s="3">
        <v>633.75178500000004</v>
      </c>
      <c r="N89" s="3">
        <v>719.04</v>
      </c>
      <c r="O89" s="3">
        <v>764.46</v>
      </c>
      <c r="P89" s="1">
        <f t="shared" si="9"/>
        <v>1019.40957</v>
      </c>
      <c r="Q89" s="1">
        <v>1020.43</v>
      </c>
      <c r="R89" s="1">
        <f t="shared" si="10"/>
        <v>1021.4504299999999</v>
      </c>
      <c r="S89" s="1">
        <v>939.6</v>
      </c>
      <c r="T89" s="1">
        <f t="shared" si="11"/>
        <v>92.171000513561978</v>
      </c>
      <c r="U89" s="1">
        <f t="shared" si="12"/>
        <v>92.078829513048433</v>
      </c>
      <c r="V89" s="1">
        <f t="shared" si="13"/>
        <v>91.986842670378053</v>
      </c>
    </row>
    <row r="90" spans="3:22" x14ac:dyDescent="0.3">
      <c r="D90" s="4" t="s">
        <v>77</v>
      </c>
      <c r="E90" s="5" t="s">
        <v>41</v>
      </c>
      <c r="F90" s="3">
        <v>114.81</v>
      </c>
      <c r="G90" s="3">
        <v>130.19</v>
      </c>
      <c r="H90" s="3">
        <v>82.219452000000004</v>
      </c>
      <c r="I90" s="3">
        <v>83.48</v>
      </c>
      <c r="J90" s="3">
        <v>84.732199999999992</v>
      </c>
      <c r="K90" s="3">
        <v>81.852139999999991</v>
      </c>
      <c r="L90" s="3">
        <v>83.48</v>
      </c>
      <c r="M90" s="3">
        <v>85.107860000000016</v>
      </c>
      <c r="N90" s="3">
        <v>143.59</v>
      </c>
      <c r="O90" s="3">
        <v>155.94</v>
      </c>
      <c r="P90" s="1">
        <f t="shared" si="9"/>
        <v>125.35452000000002</v>
      </c>
      <c r="Q90" s="1">
        <v>125.48</v>
      </c>
      <c r="R90" s="1">
        <f t="shared" si="10"/>
        <v>125.60547999999999</v>
      </c>
      <c r="S90" s="1">
        <v>139.59</v>
      </c>
      <c r="T90" s="1">
        <f t="shared" si="11"/>
        <v>111.35617606768386</v>
      </c>
      <c r="U90" s="1">
        <f t="shared" si="12"/>
        <v>111.24481989161619</v>
      </c>
      <c r="V90" s="1">
        <f t="shared" si="13"/>
        <v>111.1336862054108</v>
      </c>
    </row>
    <row r="91" spans="3:22" x14ac:dyDescent="0.3">
      <c r="D91" s="4" t="s">
        <v>43</v>
      </c>
      <c r="E91" s="5" t="s">
        <v>41</v>
      </c>
      <c r="F91" s="3">
        <v>327.91</v>
      </c>
      <c r="G91" s="3">
        <v>357.88</v>
      </c>
      <c r="H91" s="3">
        <v>324.081345</v>
      </c>
      <c r="I91" s="3">
        <v>329.05</v>
      </c>
      <c r="J91" s="3">
        <v>333.98575</v>
      </c>
      <c r="K91" s="3">
        <v>322.63352499999996</v>
      </c>
      <c r="L91" s="3">
        <v>329.05</v>
      </c>
      <c r="M91" s="3">
        <v>335.46647500000006</v>
      </c>
      <c r="N91" s="3">
        <v>360.9</v>
      </c>
      <c r="O91" s="3">
        <v>608.03</v>
      </c>
      <c r="P91" s="1">
        <f t="shared" si="9"/>
        <v>536.29317000000015</v>
      </c>
      <c r="Q91" s="1">
        <v>536.83000000000004</v>
      </c>
      <c r="R91" s="1">
        <f t="shared" si="10"/>
        <v>537.36682999999994</v>
      </c>
      <c r="S91" s="1">
        <v>779.55</v>
      </c>
      <c r="T91" s="1">
        <f t="shared" si="11"/>
        <v>145.35892746872011</v>
      </c>
      <c r="U91" s="1">
        <f t="shared" si="12"/>
        <v>145.21356854125139</v>
      </c>
      <c r="V91" s="1">
        <f t="shared" si="13"/>
        <v>145.0685000412102</v>
      </c>
    </row>
    <row r="92" spans="3:22" x14ac:dyDescent="0.3">
      <c r="D92" s="4" t="s">
        <v>78</v>
      </c>
      <c r="E92" s="5" t="s">
        <v>41</v>
      </c>
      <c r="F92" s="3">
        <v>13.64</v>
      </c>
      <c r="G92" s="3">
        <v>10.07</v>
      </c>
      <c r="H92" s="3">
        <v>9.1398719999999987</v>
      </c>
      <c r="I92" s="3">
        <v>9.2799999999999994</v>
      </c>
      <c r="J92" s="3">
        <v>9.4191999999999982</v>
      </c>
      <c r="K92" s="3">
        <v>9.1382599999999989</v>
      </c>
      <c r="L92" s="3">
        <v>9.32</v>
      </c>
      <c r="M92" s="3">
        <v>9.49</v>
      </c>
      <c r="N92" s="3">
        <v>12.84</v>
      </c>
      <c r="O92" s="3">
        <v>12.98</v>
      </c>
      <c r="P92" s="1">
        <f t="shared" si="9"/>
        <v>10.239750000000001</v>
      </c>
      <c r="Q92" s="1">
        <v>10.25</v>
      </c>
      <c r="R92" s="1">
        <f t="shared" si="10"/>
        <v>10.260249999999999</v>
      </c>
      <c r="S92" s="1">
        <v>12.49</v>
      </c>
      <c r="T92" s="1">
        <f t="shared" si="11"/>
        <v>121.97563417075612</v>
      </c>
      <c r="U92" s="1">
        <f t="shared" si="12"/>
        <v>121.85365853658536</v>
      </c>
      <c r="V92" s="1">
        <f t="shared" si="13"/>
        <v>121.7319266099754</v>
      </c>
    </row>
    <row r="93" spans="3:22" x14ac:dyDescent="0.3">
      <c r="D93" s="4" t="s">
        <v>79</v>
      </c>
      <c r="E93" s="5" t="s">
        <v>41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">
        <f t="shared" si="9"/>
        <v>0</v>
      </c>
      <c r="Q93" s="1">
        <v>0</v>
      </c>
      <c r="R93" s="1">
        <f t="shared" si="10"/>
        <v>0</v>
      </c>
      <c r="S93" s="1">
        <v>0</v>
      </c>
      <c r="T93" s="1">
        <v>100</v>
      </c>
      <c r="U93" s="1">
        <v>100</v>
      </c>
      <c r="V93" s="1">
        <v>100</v>
      </c>
    </row>
    <row r="94" spans="3:22" s="40" customFormat="1" ht="18.75" x14ac:dyDescent="0.2">
      <c r="C94" s="16"/>
      <c r="D94" s="38" t="s">
        <v>136</v>
      </c>
      <c r="E94" s="5" t="s">
        <v>41</v>
      </c>
      <c r="F94" s="3">
        <v>15.33</v>
      </c>
      <c r="G94" s="3">
        <v>-4.0199999999999818</v>
      </c>
      <c r="H94" s="3">
        <v>0</v>
      </c>
      <c r="I94" s="3">
        <v>0</v>
      </c>
      <c r="J94" s="3">
        <v>0</v>
      </c>
      <c r="K94" s="3">
        <v>-4.7063999998044892E-3</v>
      </c>
      <c r="L94" s="3">
        <v>-4.7999999999319698E-3</v>
      </c>
      <c r="M94" s="3">
        <v>6.8463999998584768E-3</v>
      </c>
      <c r="N94" s="3">
        <v>31.38</v>
      </c>
      <c r="O94" s="3">
        <v>-130.24</v>
      </c>
      <c r="P94" s="1">
        <f t="shared" si="9"/>
        <v>0</v>
      </c>
      <c r="Q94" s="1">
        <v>0</v>
      </c>
      <c r="R94" s="1">
        <f t="shared" si="10"/>
        <v>0</v>
      </c>
      <c r="S94" s="1">
        <v>85.26</v>
      </c>
      <c r="T94" s="1">
        <v>0</v>
      </c>
      <c r="U94" s="1">
        <v>0</v>
      </c>
      <c r="V94" s="1">
        <v>0</v>
      </c>
    </row>
    <row r="95" spans="3:22" x14ac:dyDescent="0.3">
      <c r="D95" s="38" t="s">
        <v>137</v>
      </c>
      <c r="E95" s="5" t="s">
        <v>41</v>
      </c>
      <c r="F95" s="1"/>
      <c r="G95" s="1"/>
      <c r="H95" s="1"/>
      <c r="I95" s="1"/>
      <c r="J95" s="1"/>
      <c r="K95" s="1"/>
      <c r="L95" s="1"/>
      <c r="M95" s="1"/>
      <c r="N95" s="1"/>
      <c r="O95" s="1"/>
      <c r="P95" s="1">
        <v>0</v>
      </c>
      <c r="Q95" s="1">
        <v>0</v>
      </c>
      <c r="R95" s="1">
        <v>0</v>
      </c>
      <c r="S95" s="1">
        <v>0</v>
      </c>
      <c r="T95" s="1">
        <v>100</v>
      </c>
      <c r="U95" s="1">
        <v>100</v>
      </c>
      <c r="V95" s="1">
        <v>100</v>
      </c>
    </row>
    <row r="96" spans="3:22" x14ac:dyDescent="0.3">
      <c r="D96" s="20" t="s">
        <v>118</v>
      </c>
      <c r="E96" s="17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3:22" x14ac:dyDescent="0.3">
      <c r="D97" s="23" t="s">
        <v>44</v>
      </c>
      <c r="E97" s="17" t="s">
        <v>41</v>
      </c>
      <c r="F97" s="3">
        <v>8683.66</v>
      </c>
      <c r="G97" s="3">
        <v>9330</v>
      </c>
      <c r="H97" s="3">
        <v>9508.4893035625009</v>
      </c>
      <c r="I97" s="3">
        <v>9764.9977729500006</v>
      </c>
      <c r="J97" s="3">
        <v>9935.2727208750021</v>
      </c>
      <c r="K97" s="3">
        <v>9953.4232937406268</v>
      </c>
      <c r="L97" s="3">
        <v>10220.424162847501</v>
      </c>
      <c r="M97" s="3">
        <v>10399.094043918753</v>
      </c>
      <c r="N97" s="3">
        <v>9611.17</v>
      </c>
      <c r="O97" s="3">
        <v>9322.83</v>
      </c>
      <c r="P97" s="1">
        <f>O97*99.7%</f>
        <v>9294.8615100000006</v>
      </c>
      <c r="Q97" s="1">
        <f>O97*101.9%</f>
        <v>9499.9637700000003</v>
      </c>
      <c r="R97" s="1">
        <f>O97*103%</f>
        <v>9602.5149000000001</v>
      </c>
      <c r="S97" s="1">
        <v>9305.2000000000007</v>
      </c>
      <c r="T97" s="1">
        <f t="shared" si="11"/>
        <v>100.11122801548875</v>
      </c>
      <c r="U97" s="1">
        <f t="shared" si="12"/>
        <v>97.949847233996351</v>
      </c>
      <c r="V97" s="1">
        <f t="shared" si="13"/>
        <v>96.903780904312896</v>
      </c>
    </row>
    <row r="98" spans="3:22" ht="37.5" x14ac:dyDescent="0.3">
      <c r="D98" s="4" t="s">
        <v>105</v>
      </c>
      <c r="E98" s="5" t="s">
        <v>87</v>
      </c>
      <c r="F98" s="8">
        <v>1.0024999999999999</v>
      </c>
      <c r="G98" s="8">
        <v>1.0422</v>
      </c>
      <c r="H98" s="8">
        <v>1.006410397586327</v>
      </c>
      <c r="I98" s="8">
        <v>1.0064703831017376</v>
      </c>
      <c r="J98" s="8">
        <v>1.0062894726539833</v>
      </c>
      <c r="K98" s="8">
        <v>1.0065320594427842</v>
      </c>
      <c r="L98" s="8">
        <v>1.0063833248418728</v>
      </c>
      <c r="M98" s="8">
        <v>1.0064272183866925</v>
      </c>
      <c r="N98" s="8">
        <v>1.0009999999999999</v>
      </c>
      <c r="O98" s="8">
        <v>0.97</v>
      </c>
      <c r="P98" s="9">
        <f>P97/O97</f>
        <v>0.99700000000000011</v>
      </c>
      <c r="Q98" s="9">
        <f>Q97/O97</f>
        <v>1.0190000000000001</v>
      </c>
      <c r="R98" s="9">
        <f>R97/O97</f>
        <v>1.03</v>
      </c>
      <c r="S98" s="9">
        <v>1.0069999999999999</v>
      </c>
      <c r="T98" s="1">
        <f t="shared" si="11"/>
        <v>101.00300902708122</v>
      </c>
      <c r="U98" s="1">
        <f t="shared" si="12"/>
        <v>98.822374877330702</v>
      </c>
      <c r="V98" s="1">
        <f t="shared" si="13"/>
        <v>97.766990291262118</v>
      </c>
    </row>
    <row r="99" spans="3:22" ht="37.5" x14ac:dyDescent="0.3">
      <c r="D99" s="4" t="s">
        <v>45</v>
      </c>
      <c r="E99" s="5" t="s">
        <v>46</v>
      </c>
      <c r="F99" s="3">
        <v>8248</v>
      </c>
      <c r="G99" s="3">
        <v>9320</v>
      </c>
      <c r="H99" s="3">
        <v>9160</v>
      </c>
      <c r="I99" s="3">
        <v>9160</v>
      </c>
      <c r="J99" s="3">
        <v>9160</v>
      </c>
      <c r="K99" s="3">
        <v>9530</v>
      </c>
      <c r="L99" s="3">
        <v>9530</v>
      </c>
      <c r="M99" s="3">
        <v>9530</v>
      </c>
      <c r="N99" s="3">
        <v>9235</v>
      </c>
      <c r="O99" s="3">
        <v>9512.0499999999993</v>
      </c>
      <c r="P99" s="1">
        <f>O99*99.7%</f>
        <v>9483.5138499999994</v>
      </c>
      <c r="Q99" s="1">
        <f>O99*102.01%</f>
        <v>9703.2422049999986</v>
      </c>
      <c r="R99" s="1">
        <f>Q99*103.7%</f>
        <v>10062.262166584998</v>
      </c>
      <c r="S99" s="1">
        <v>9345</v>
      </c>
      <c r="T99" s="1">
        <f t="shared" si="11"/>
        <v>98.539424814569131</v>
      </c>
      <c r="U99" s="1">
        <f t="shared" si="12"/>
        <v>96.308015429982788</v>
      </c>
      <c r="V99" s="1">
        <f t="shared" si="13"/>
        <v>92.871760298922652</v>
      </c>
    </row>
    <row r="100" spans="3:22" ht="56.25" x14ac:dyDescent="0.3">
      <c r="D100" s="4" t="s">
        <v>47</v>
      </c>
      <c r="E100" s="5" t="s">
        <v>48</v>
      </c>
      <c r="F100" s="3">
        <v>17.87</v>
      </c>
      <c r="G100" s="3">
        <v>17.87</v>
      </c>
      <c r="H100" s="3">
        <v>17.916243093922652</v>
      </c>
      <c r="I100" s="3">
        <v>17.91697247706422</v>
      </c>
      <c r="J100" s="3">
        <v>17.994708029197078</v>
      </c>
      <c r="K100" s="3">
        <v>17.91697247706422</v>
      </c>
      <c r="L100" s="3">
        <v>17.994708029197078</v>
      </c>
      <c r="M100" s="3">
        <v>17.995272727272724</v>
      </c>
      <c r="N100" s="3">
        <v>17.100000000000001</v>
      </c>
      <c r="O100" s="3">
        <v>17</v>
      </c>
      <c r="P100" s="1">
        <f>O100*99.7%</f>
        <v>16.949000000000002</v>
      </c>
      <c r="Q100" s="1">
        <f>O100*100.01%</f>
        <v>17.0017</v>
      </c>
      <c r="R100" s="1">
        <f t="shared" ref="R100" si="14">Q100*100.1%</f>
        <v>17.018701699999998</v>
      </c>
      <c r="S100" s="1">
        <v>17</v>
      </c>
      <c r="T100" s="1">
        <f t="shared" si="11"/>
        <v>100.30090270812437</v>
      </c>
      <c r="U100" s="1">
        <f t="shared" si="12"/>
        <v>99.990000999900005</v>
      </c>
      <c r="V100" s="1">
        <f t="shared" si="13"/>
        <v>99.890110889011012</v>
      </c>
    </row>
    <row r="101" spans="3:22" x14ac:dyDescent="0.3">
      <c r="D101" s="4" t="s">
        <v>49</v>
      </c>
      <c r="E101" s="5" t="s">
        <v>41</v>
      </c>
      <c r="F101" s="3">
        <v>8674.98</v>
      </c>
      <c r="G101" s="3">
        <v>9320</v>
      </c>
      <c r="H101" s="3">
        <v>9498.9808142589391</v>
      </c>
      <c r="I101" s="3">
        <v>9755.2327751770499</v>
      </c>
      <c r="J101" s="3">
        <v>9925.3374481541268</v>
      </c>
      <c r="K101" s="3">
        <v>9943.4698704468865</v>
      </c>
      <c r="L101" s="3">
        <v>10210.203738684653</v>
      </c>
      <c r="M101" s="3">
        <v>10388.694949874833</v>
      </c>
      <c r="N101" s="3">
        <v>9602.01</v>
      </c>
      <c r="O101" s="3">
        <f>N101*97%</f>
        <v>9313.9496999999992</v>
      </c>
      <c r="P101" s="1">
        <f>O101*99.7%</f>
        <v>9286.0078508999995</v>
      </c>
      <c r="Q101" s="1">
        <f>O101*101.9%</f>
        <v>9490.9147443000002</v>
      </c>
      <c r="R101" s="1">
        <f>O101*103%</f>
        <v>9593.3681909999996</v>
      </c>
      <c r="S101" s="1">
        <v>9298</v>
      </c>
      <c r="T101" s="1">
        <f t="shared" si="11"/>
        <v>100.12914213828539</v>
      </c>
      <c r="U101" s="1">
        <f t="shared" si="12"/>
        <v>97.967374594573613</v>
      </c>
      <c r="V101" s="1">
        <f t="shared" si="13"/>
        <v>96.921121079485943</v>
      </c>
    </row>
    <row r="102" spans="3:22" ht="37.5" x14ac:dyDescent="0.3">
      <c r="D102" s="4" t="s">
        <v>122</v>
      </c>
      <c r="E102" s="5" t="s">
        <v>41</v>
      </c>
      <c r="F102" s="3">
        <v>8.68</v>
      </c>
      <c r="G102" s="3">
        <v>60</v>
      </c>
      <c r="H102" s="3">
        <v>9.5084893035618734</v>
      </c>
      <c r="I102" s="3">
        <v>9.7649977729506645</v>
      </c>
      <c r="J102" s="3">
        <v>9.9352727208752185</v>
      </c>
      <c r="K102" s="3">
        <v>9.9534232937403431</v>
      </c>
      <c r="L102" s="3">
        <v>10.220424162847848</v>
      </c>
      <c r="M102" s="3">
        <v>10.399094043919831</v>
      </c>
      <c r="N102" s="3">
        <v>9.16</v>
      </c>
      <c r="O102" s="3">
        <f>O97-O101</f>
        <v>8.880300000000716</v>
      </c>
      <c r="P102" s="3">
        <f t="shared" ref="P102:R102" si="15">P97-P101</f>
        <v>8.8536591000010958</v>
      </c>
      <c r="Q102" s="3">
        <f t="shared" si="15"/>
        <v>9.0490257000001293</v>
      </c>
      <c r="R102" s="3">
        <f t="shared" si="15"/>
        <v>9.1467090000005555</v>
      </c>
      <c r="S102" s="3">
        <f>S97-S101</f>
        <v>7.2000000000007276</v>
      </c>
      <c r="T102" s="1">
        <f t="shared" si="11"/>
        <v>81.322308874528915</v>
      </c>
      <c r="U102" s="1">
        <f t="shared" si="12"/>
        <v>79.566576985195482</v>
      </c>
      <c r="V102" s="1">
        <f t="shared" si="13"/>
        <v>78.716836842631494</v>
      </c>
    </row>
    <row r="103" spans="3:22" s="36" customFormat="1" x14ac:dyDescent="0.3">
      <c r="C103" s="35"/>
      <c r="D103" s="37" t="s">
        <v>119</v>
      </c>
      <c r="E103" s="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41"/>
      <c r="Q103" s="41"/>
      <c r="R103" s="41"/>
      <c r="S103" s="41"/>
      <c r="T103" s="1"/>
      <c r="U103" s="1"/>
      <c r="V103" s="1"/>
    </row>
    <row r="104" spans="3:22" ht="37.5" x14ac:dyDescent="0.3">
      <c r="D104" s="4" t="s">
        <v>138</v>
      </c>
      <c r="E104" s="5" t="s">
        <v>24</v>
      </c>
      <c r="F104" s="3">
        <v>22.4</v>
      </c>
      <c r="G104" s="3">
        <v>25.17</v>
      </c>
      <c r="H104" s="3">
        <v>25</v>
      </c>
      <c r="I104" s="3">
        <v>25.5</v>
      </c>
      <c r="J104" s="3">
        <v>26</v>
      </c>
      <c r="K104" s="3">
        <v>26.1</v>
      </c>
      <c r="L104" s="3">
        <v>26.8</v>
      </c>
      <c r="M104" s="3">
        <v>27</v>
      </c>
      <c r="N104" s="3">
        <v>28.42</v>
      </c>
      <c r="O104" s="3">
        <v>29.75</v>
      </c>
      <c r="P104" s="1">
        <f>O104*102%</f>
        <v>30.344999999999999</v>
      </c>
      <c r="Q104" s="1">
        <f>O104*103.9%</f>
        <v>30.910250000000005</v>
      </c>
      <c r="R104" s="1">
        <f>O104*105.9%</f>
        <v>31.505250000000004</v>
      </c>
      <c r="S104" s="1">
        <v>32.479999999999997</v>
      </c>
      <c r="T104" s="1">
        <f t="shared" si="11"/>
        <v>107.03575547866204</v>
      </c>
      <c r="U104" s="1">
        <f t="shared" si="12"/>
        <v>105.07841250070766</v>
      </c>
      <c r="V104" s="1">
        <f t="shared" si="13"/>
        <v>103.09392878964614</v>
      </c>
    </row>
    <row r="105" spans="3:22" ht="37.5" x14ac:dyDescent="0.3">
      <c r="D105" s="4" t="s">
        <v>138</v>
      </c>
      <c r="E105" s="5" t="s">
        <v>87</v>
      </c>
      <c r="F105" s="27">
        <v>1.0389999999999999</v>
      </c>
      <c r="G105" s="28">
        <v>1.0884</v>
      </c>
      <c r="H105" s="28">
        <v>1.0460251046025104</v>
      </c>
      <c r="I105" s="28">
        <v>1.0450819672131149</v>
      </c>
      <c r="J105" s="28">
        <v>1.0483870967741935</v>
      </c>
      <c r="K105" s="28">
        <v>1.044</v>
      </c>
      <c r="L105" s="28">
        <v>1.0509803921568628</v>
      </c>
      <c r="M105" s="28">
        <v>1.0384615384615385</v>
      </c>
      <c r="N105" s="28">
        <v>1.125</v>
      </c>
      <c r="O105" s="28">
        <v>1.0469999999999999</v>
      </c>
      <c r="P105" s="9">
        <f>P104/O104</f>
        <v>1.02</v>
      </c>
      <c r="Q105" s="9">
        <f>Q104/O104</f>
        <v>1.0390000000000001</v>
      </c>
      <c r="R105" s="9">
        <f>R104/O104</f>
        <v>1.0590000000000002</v>
      </c>
      <c r="S105" s="9">
        <v>1.04</v>
      </c>
      <c r="T105" s="1">
        <f t="shared" si="11"/>
        <v>101.96078431372548</v>
      </c>
      <c r="U105" s="1">
        <f t="shared" si="12"/>
        <v>100.09624639076034</v>
      </c>
      <c r="V105" s="1">
        <f t="shared" si="13"/>
        <v>98.205854579792245</v>
      </c>
    </row>
    <row r="106" spans="3:22" x14ac:dyDescent="0.3">
      <c r="D106" s="4" t="s">
        <v>51</v>
      </c>
      <c r="E106" s="5" t="s">
        <v>31</v>
      </c>
      <c r="F106" s="3">
        <v>2.2999999999999998</v>
      </c>
      <c r="G106" s="3">
        <v>1.5</v>
      </c>
      <c r="H106" s="3">
        <v>2.5</v>
      </c>
      <c r="I106" s="3">
        <v>2.5</v>
      </c>
      <c r="J106" s="3">
        <v>2.2999999999999998</v>
      </c>
      <c r="K106" s="3">
        <v>2.5</v>
      </c>
      <c r="L106" s="3">
        <v>2.5</v>
      </c>
      <c r="M106" s="3">
        <v>2.2999999999999998</v>
      </c>
      <c r="N106" s="3">
        <v>1.6</v>
      </c>
      <c r="O106" s="3">
        <v>5</v>
      </c>
      <c r="P106" s="42">
        <v>5</v>
      </c>
      <c r="Q106" s="42">
        <v>4.9000000000000004</v>
      </c>
      <c r="R106" s="42">
        <v>4.5</v>
      </c>
      <c r="S106" s="42">
        <v>2.17</v>
      </c>
      <c r="T106" s="1">
        <f t="shared" si="11"/>
        <v>43.4</v>
      </c>
      <c r="U106" s="1">
        <f t="shared" si="12"/>
        <v>44.285714285714285</v>
      </c>
      <c r="V106" s="1">
        <f t="shared" si="13"/>
        <v>48.222222222222221</v>
      </c>
    </row>
    <row r="107" spans="3:22" ht="56.25" x14ac:dyDescent="0.3">
      <c r="D107" s="4" t="s">
        <v>52</v>
      </c>
      <c r="E107" s="5" t="s">
        <v>37</v>
      </c>
      <c r="F107" s="3">
        <v>0.65</v>
      </c>
      <c r="G107" s="3">
        <v>0.45</v>
      </c>
      <c r="H107" s="3">
        <v>0.65</v>
      </c>
      <c r="I107" s="3">
        <v>0.65</v>
      </c>
      <c r="J107" s="3">
        <v>0.65</v>
      </c>
      <c r="K107" s="3">
        <v>0.65</v>
      </c>
      <c r="L107" s="3">
        <v>0.65</v>
      </c>
      <c r="M107" s="3">
        <v>0.65</v>
      </c>
      <c r="N107" s="3">
        <v>0.49</v>
      </c>
      <c r="O107" s="3">
        <v>1.56</v>
      </c>
      <c r="P107" s="1">
        <f>P106*0.31</f>
        <v>1.55</v>
      </c>
      <c r="Q107" s="1">
        <f t="shared" ref="Q107:R107" si="16">Q106*0.31</f>
        <v>1.5190000000000001</v>
      </c>
      <c r="R107" s="1">
        <f t="shared" si="16"/>
        <v>1.395</v>
      </c>
      <c r="S107" s="1">
        <v>0.71399999999999997</v>
      </c>
      <c r="T107" s="1">
        <f t="shared" si="11"/>
        <v>46.064516129032256</v>
      </c>
      <c r="U107" s="1">
        <f t="shared" si="12"/>
        <v>47.004608294930875</v>
      </c>
      <c r="V107" s="1">
        <f t="shared" si="13"/>
        <v>51.182795698924735</v>
      </c>
    </row>
    <row r="108" spans="3:22" ht="37.5" x14ac:dyDescent="0.3">
      <c r="D108" s="4" t="s">
        <v>66</v>
      </c>
      <c r="E108" s="5" t="s">
        <v>37</v>
      </c>
      <c r="F108" s="3">
        <v>6.1</v>
      </c>
      <c r="G108" s="3">
        <v>5.9</v>
      </c>
      <c r="H108" s="3">
        <v>8.68</v>
      </c>
      <c r="I108" s="3">
        <v>8.75</v>
      </c>
      <c r="J108" s="3">
        <v>8.77</v>
      </c>
      <c r="K108" s="3">
        <v>8.75</v>
      </c>
      <c r="L108" s="3">
        <v>8.77</v>
      </c>
      <c r="M108" s="3">
        <v>8.84</v>
      </c>
      <c r="N108" s="3">
        <v>5.72</v>
      </c>
      <c r="O108" s="3">
        <v>5.7</v>
      </c>
      <c r="P108" s="1">
        <f>O108*99.7%</f>
        <v>5.6829000000000001</v>
      </c>
      <c r="Q108" s="1">
        <f>O108*100.01%</f>
        <v>5.7005699999999999</v>
      </c>
      <c r="R108" s="1">
        <f t="shared" ref="R108" si="17">Q108*100.1%</f>
        <v>5.7062705699999992</v>
      </c>
      <c r="S108" s="1">
        <v>5.1829999999999998</v>
      </c>
      <c r="T108" s="1">
        <f t="shared" si="11"/>
        <v>91.203434866001516</v>
      </c>
      <c r="U108" s="1">
        <f t="shared" si="12"/>
        <v>90.920732488154684</v>
      </c>
      <c r="V108" s="1">
        <f t="shared" si="13"/>
        <v>90.82990258556913</v>
      </c>
    </row>
    <row r="109" spans="3:22" x14ac:dyDescent="0.3">
      <c r="D109" s="4" t="s">
        <v>53</v>
      </c>
      <c r="E109" s="5" t="s">
        <v>9</v>
      </c>
      <c r="F109" s="3">
        <v>1653.3</v>
      </c>
      <c r="G109" s="3">
        <v>1750</v>
      </c>
      <c r="H109" s="3">
        <v>2562.591051562501</v>
      </c>
      <c r="I109" s="3">
        <v>2635.8079387500006</v>
      </c>
      <c r="J109" s="3">
        <v>2684.6191968750004</v>
      </c>
      <c r="K109" s="3">
        <v>2690.7206041406262</v>
      </c>
      <c r="L109" s="3">
        <v>2767.5983356875008</v>
      </c>
      <c r="M109" s="3">
        <v>2818.8501567187504</v>
      </c>
      <c r="N109" s="3">
        <v>1950.24</v>
      </c>
      <c r="O109" s="3">
        <v>2016.57</v>
      </c>
      <c r="P109" s="1">
        <f>O109*102%</f>
        <v>2056.9014000000002</v>
      </c>
      <c r="Q109" s="1">
        <f>O109*104.9%</f>
        <v>2115.3819300000005</v>
      </c>
      <c r="R109" s="1">
        <f>O109*107%</f>
        <v>2157.7299000000003</v>
      </c>
      <c r="S109" s="1">
        <v>2041.25</v>
      </c>
      <c r="T109" s="1">
        <f t="shared" si="11"/>
        <v>99.239078742422933</v>
      </c>
      <c r="U109" s="1">
        <f t="shared" si="12"/>
        <v>96.495577042203422</v>
      </c>
      <c r="V109" s="1">
        <f t="shared" si="13"/>
        <v>94.601738614272335</v>
      </c>
    </row>
    <row r="110" spans="3:22" ht="37.5" x14ac:dyDescent="0.3">
      <c r="D110" s="4" t="s">
        <v>139</v>
      </c>
      <c r="E110" s="5" t="s">
        <v>54</v>
      </c>
      <c r="F110" s="25">
        <v>1.0389999999999999</v>
      </c>
      <c r="G110" s="25">
        <v>1.0580000000000001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1.0840000000000001</v>
      </c>
      <c r="O110" s="25">
        <v>1.034</v>
      </c>
      <c r="P110" s="9">
        <f>P109/O109</f>
        <v>1.02</v>
      </c>
      <c r="Q110" s="9">
        <f>Q109/O109</f>
        <v>1.0490000000000002</v>
      </c>
      <c r="R110" s="9">
        <f>R109/O109</f>
        <v>1.07</v>
      </c>
      <c r="S110" s="9">
        <v>1.042</v>
      </c>
      <c r="T110" s="1">
        <f t="shared" si="11"/>
        <v>102.15686274509804</v>
      </c>
      <c r="U110" s="1">
        <f t="shared" si="12"/>
        <v>99.33269780743565</v>
      </c>
      <c r="V110" s="1">
        <f t="shared" si="13"/>
        <v>97.383177570093466</v>
      </c>
    </row>
    <row r="111" spans="3:22" s="36" customFormat="1" x14ac:dyDescent="0.3">
      <c r="C111" s="35"/>
      <c r="D111" s="37" t="s">
        <v>120</v>
      </c>
      <c r="E111" s="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41"/>
      <c r="Q111" s="41"/>
      <c r="R111" s="41"/>
      <c r="S111" s="41"/>
      <c r="T111" s="1"/>
      <c r="U111" s="1"/>
      <c r="V111" s="1"/>
    </row>
    <row r="112" spans="3:22" ht="37.5" x14ac:dyDescent="0.3">
      <c r="D112" s="4" t="s">
        <v>55</v>
      </c>
      <c r="E112" s="5" t="s">
        <v>37</v>
      </c>
      <c r="F112" s="3">
        <v>2.41</v>
      </c>
      <c r="G112" s="3">
        <v>2.3199999999999998</v>
      </c>
      <c r="H112" s="3">
        <v>2.6500000000000004</v>
      </c>
      <c r="I112" s="3">
        <v>2.65</v>
      </c>
      <c r="J112" s="3">
        <v>2.65</v>
      </c>
      <c r="K112" s="3">
        <v>2.65</v>
      </c>
      <c r="L112" s="3">
        <v>2.65</v>
      </c>
      <c r="M112" s="3">
        <v>2.65</v>
      </c>
      <c r="N112" s="3">
        <v>2.2400000000000002</v>
      </c>
      <c r="O112" s="3">
        <v>2.1800000000000002</v>
      </c>
      <c r="P112" s="1">
        <f>O112*99.7%</f>
        <v>2.1734599999999999</v>
      </c>
      <c r="Q112" s="1">
        <f>O112*100.01%</f>
        <v>2.180218</v>
      </c>
      <c r="R112" s="1">
        <f t="shared" ref="R112:R113" si="18">Q112*100.1%</f>
        <v>2.1823982179999999</v>
      </c>
      <c r="S112" s="1">
        <v>2.048</v>
      </c>
      <c r="T112" s="1">
        <f t="shared" si="11"/>
        <v>94.227637039559056</v>
      </c>
      <c r="U112" s="1">
        <f t="shared" si="12"/>
        <v>93.935560572383139</v>
      </c>
      <c r="V112" s="1">
        <f t="shared" si="13"/>
        <v>93.841718853529613</v>
      </c>
    </row>
    <row r="113" spans="4:22" ht="75" x14ac:dyDescent="0.3">
      <c r="D113" s="4" t="s">
        <v>56</v>
      </c>
      <c r="E113" s="5" t="s">
        <v>37</v>
      </c>
      <c r="F113" s="3">
        <v>6.14</v>
      </c>
      <c r="G113" s="3">
        <v>6.35</v>
      </c>
      <c r="H113" s="3">
        <v>6.2</v>
      </c>
      <c r="I113" s="3">
        <v>6.2</v>
      </c>
      <c r="J113" s="3">
        <v>6.2</v>
      </c>
      <c r="K113" s="3">
        <v>6.23</v>
      </c>
      <c r="L113" s="3">
        <v>6.23</v>
      </c>
      <c r="M113" s="3">
        <v>6.23</v>
      </c>
      <c r="N113" s="3">
        <v>6.35</v>
      </c>
      <c r="O113" s="3">
        <v>6.43</v>
      </c>
      <c r="P113" s="1">
        <f>O113*99.7%</f>
        <v>6.4107099999999999</v>
      </c>
      <c r="Q113" s="1">
        <f>O113*100.01%</f>
        <v>6.4306429999999999</v>
      </c>
      <c r="R113" s="1">
        <f t="shared" si="18"/>
        <v>6.4370736429999988</v>
      </c>
      <c r="S113" s="1">
        <v>6.45</v>
      </c>
      <c r="T113" s="1">
        <f t="shared" si="11"/>
        <v>100.61288063256643</v>
      </c>
      <c r="U113" s="1">
        <f t="shared" si="12"/>
        <v>100.3010118894798</v>
      </c>
      <c r="V113" s="1">
        <f t="shared" si="13"/>
        <v>100.20081107840141</v>
      </c>
    </row>
    <row r="114" spans="4:22" x14ac:dyDescent="0.3">
      <c r="D114" s="4" t="s">
        <v>57</v>
      </c>
      <c r="E114" s="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1"/>
      <c r="Q114" s="1"/>
      <c r="R114" s="1"/>
      <c r="S114" s="1"/>
      <c r="T114" s="1"/>
      <c r="U114" s="1"/>
      <c r="V114" s="1"/>
    </row>
    <row r="115" spans="4:22" x14ac:dyDescent="0.3">
      <c r="D115" s="4" t="s">
        <v>58</v>
      </c>
      <c r="E115" s="5" t="s">
        <v>59</v>
      </c>
      <c r="F115" s="3">
        <v>40.185185185185183</v>
      </c>
      <c r="G115" s="3">
        <v>39.96</v>
      </c>
      <c r="H115" s="3">
        <v>39.963167587476981</v>
      </c>
      <c r="I115" s="3">
        <v>39.816513761467888</v>
      </c>
      <c r="J115" s="3">
        <v>39.598540145985403</v>
      </c>
      <c r="K115" s="3">
        <v>39.816513761467888</v>
      </c>
      <c r="L115" s="3">
        <v>39.598540145985403</v>
      </c>
      <c r="M115" s="3">
        <v>39.454545454545453</v>
      </c>
      <c r="N115" s="3">
        <v>40.200000000000003</v>
      </c>
      <c r="O115" s="3">
        <v>40.200000000000003</v>
      </c>
      <c r="P115" s="1">
        <f>O115*99.7%</f>
        <v>40.0794</v>
      </c>
      <c r="Q115" s="1">
        <f>O115*100.01%</f>
        <v>40.20402</v>
      </c>
      <c r="R115" s="1">
        <f t="shared" ref="R115:R118" si="19">Q115*100.1%</f>
        <v>40.244224019999997</v>
      </c>
      <c r="S115" s="1">
        <v>51.2</v>
      </c>
      <c r="T115" s="1">
        <f t="shared" si="11"/>
        <v>127.74642334965097</v>
      </c>
      <c r="U115" s="1">
        <f t="shared" si="12"/>
        <v>127.35044903469853</v>
      </c>
      <c r="V115" s="1">
        <f t="shared" si="13"/>
        <v>127.22322580888965</v>
      </c>
    </row>
    <row r="116" spans="4:22" ht="37.5" x14ac:dyDescent="0.3">
      <c r="D116" s="4" t="s">
        <v>60</v>
      </c>
      <c r="E116" s="5" t="s">
        <v>61</v>
      </c>
      <c r="F116" s="3">
        <v>50</v>
      </c>
      <c r="G116" s="3">
        <v>49.72</v>
      </c>
      <c r="H116" s="3">
        <v>49.723756906077348</v>
      </c>
      <c r="I116" s="3">
        <v>49.541284403669728</v>
      </c>
      <c r="J116" s="3">
        <v>49.270072992700733</v>
      </c>
      <c r="K116" s="3">
        <v>49.541284403669728</v>
      </c>
      <c r="L116" s="3">
        <v>49.270072992700733</v>
      </c>
      <c r="M116" s="3">
        <v>49.090909090909093</v>
      </c>
      <c r="N116" s="3">
        <v>50.5</v>
      </c>
      <c r="O116" s="3">
        <v>50.5</v>
      </c>
      <c r="P116" s="1">
        <f>O116*99.7%</f>
        <v>50.348500000000001</v>
      </c>
      <c r="Q116" s="1">
        <f>O116*100.01%</f>
        <v>50.505049999999997</v>
      </c>
      <c r="R116" s="1">
        <f t="shared" si="19"/>
        <v>50.555555049999988</v>
      </c>
      <c r="S116" s="1">
        <v>49.9</v>
      </c>
      <c r="T116" s="1">
        <f t="shared" si="11"/>
        <v>99.109208814562493</v>
      </c>
      <c r="U116" s="1">
        <f t="shared" si="12"/>
        <v>98.802000988020012</v>
      </c>
      <c r="V116" s="1">
        <f t="shared" si="13"/>
        <v>98.703297690329705</v>
      </c>
    </row>
    <row r="117" spans="4:22" ht="37.5" x14ac:dyDescent="0.3">
      <c r="D117" s="4" t="s">
        <v>62</v>
      </c>
      <c r="E117" s="5" t="s">
        <v>61</v>
      </c>
      <c r="F117" s="3">
        <v>51.851851851851848</v>
      </c>
      <c r="G117" s="3">
        <v>51.57</v>
      </c>
      <c r="H117" s="3">
        <v>51.565377532228361</v>
      </c>
      <c r="I117" s="3">
        <v>51.37614678899083</v>
      </c>
      <c r="J117" s="3">
        <v>51.094890510948908</v>
      </c>
      <c r="K117" s="3">
        <v>51.37614678899083</v>
      </c>
      <c r="L117" s="3">
        <v>51.094890510948908</v>
      </c>
      <c r="M117" s="3">
        <v>50.909090909090907</v>
      </c>
      <c r="N117" s="3">
        <v>51.9</v>
      </c>
      <c r="O117" s="3">
        <v>51.9</v>
      </c>
      <c r="P117" s="1">
        <f>O117*99.7%</f>
        <v>51.744299999999996</v>
      </c>
      <c r="Q117" s="1">
        <f>O117*100.01%</f>
        <v>51.905189999999997</v>
      </c>
      <c r="R117" s="1">
        <f t="shared" si="19"/>
        <v>51.95709518999999</v>
      </c>
      <c r="S117" s="1">
        <v>53.6</v>
      </c>
      <c r="T117" s="1">
        <f t="shared" si="11"/>
        <v>103.58628873131921</v>
      </c>
      <c r="U117" s="1">
        <f t="shared" si="12"/>
        <v>103.26520334479076</v>
      </c>
      <c r="V117" s="1">
        <f t="shared" si="13"/>
        <v>103.1620413034873</v>
      </c>
    </row>
    <row r="118" spans="4:22" ht="37.5" x14ac:dyDescent="0.3">
      <c r="D118" s="4" t="s">
        <v>63</v>
      </c>
      <c r="E118" s="5" t="s">
        <v>80</v>
      </c>
      <c r="F118" s="3">
        <v>539.70000000000005</v>
      </c>
      <c r="G118" s="3">
        <v>543</v>
      </c>
      <c r="H118" s="3">
        <v>524</v>
      </c>
      <c r="I118" s="3">
        <v>524</v>
      </c>
      <c r="J118" s="3">
        <v>524</v>
      </c>
      <c r="K118" s="3">
        <v>524</v>
      </c>
      <c r="L118" s="3">
        <v>524</v>
      </c>
      <c r="M118" s="3">
        <v>524</v>
      </c>
      <c r="N118" s="3">
        <v>545.6</v>
      </c>
      <c r="O118" s="3">
        <v>545</v>
      </c>
      <c r="P118" s="1">
        <f>O118*99.7%</f>
        <v>543.36500000000001</v>
      </c>
      <c r="Q118" s="1">
        <f>O118*100.01%</f>
        <v>545.05449999999996</v>
      </c>
      <c r="R118" s="1">
        <f t="shared" si="19"/>
        <v>545.59955449999995</v>
      </c>
      <c r="S118" s="1">
        <v>614.20000000000005</v>
      </c>
      <c r="T118" s="1">
        <f t="shared" si="11"/>
        <v>113.03635677675229</v>
      </c>
      <c r="U118" s="1">
        <f t="shared" si="12"/>
        <v>112.68597910851119</v>
      </c>
      <c r="V118" s="1">
        <f t="shared" si="13"/>
        <v>112.57340570280839</v>
      </c>
    </row>
    <row r="119" spans="4:22" x14ac:dyDescent="0.3"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43"/>
      <c r="O119" s="43"/>
      <c r="P119" s="44"/>
      <c r="Q119" s="44"/>
      <c r="R119" s="44"/>
      <c r="S119" s="51"/>
      <c r="T119" s="44"/>
      <c r="U119" s="44"/>
      <c r="V119" s="44"/>
    </row>
    <row r="120" spans="4:22" x14ac:dyDescent="0.3"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43"/>
      <c r="O120" s="43"/>
      <c r="P120" s="44"/>
      <c r="Q120" s="44"/>
      <c r="R120" s="44"/>
      <c r="S120" s="51"/>
      <c r="T120" s="44"/>
      <c r="U120" s="44"/>
      <c r="V120" s="44"/>
    </row>
    <row r="121" spans="4:22" x14ac:dyDescent="0.3">
      <c r="D121" s="50"/>
      <c r="E121" s="45"/>
      <c r="F121" s="45"/>
      <c r="G121" s="45"/>
      <c r="H121" s="45"/>
      <c r="I121" s="45"/>
      <c r="J121" s="45" t="s">
        <v>107</v>
      </c>
      <c r="K121" s="45"/>
      <c r="L121" s="45"/>
      <c r="M121" s="45"/>
      <c r="N121" s="45"/>
      <c r="O121" s="45"/>
      <c r="P121" s="44"/>
      <c r="Q121" s="44"/>
      <c r="R121" s="44"/>
      <c r="S121" s="51"/>
      <c r="T121" s="44"/>
      <c r="U121" s="44"/>
      <c r="V121" s="44"/>
    </row>
    <row r="122" spans="4:22" x14ac:dyDescent="0.3">
      <c r="D122" s="46"/>
    </row>
    <row r="123" spans="4:22" x14ac:dyDescent="0.3">
      <c r="D123" s="58"/>
      <c r="E123" s="58"/>
      <c r="F123" s="58"/>
      <c r="G123" s="58"/>
      <c r="H123" s="59"/>
      <c r="I123" s="59"/>
      <c r="J123" s="59"/>
      <c r="K123" s="59"/>
      <c r="L123" s="59"/>
      <c r="M123" s="59"/>
      <c r="N123" s="59"/>
      <c r="O123" s="12"/>
    </row>
  </sheetData>
  <mergeCells count="24">
    <mergeCell ref="Q10:Q11"/>
    <mergeCell ref="N9:N11"/>
    <mergeCell ref="O9:O11"/>
    <mergeCell ref="H8:M8"/>
    <mergeCell ref="D8:D11"/>
    <mergeCell ref="H9:J9"/>
    <mergeCell ref="K9:M9"/>
    <mergeCell ref="E8:E11"/>
    <mergeCell ref="R2:V3"/>
    <mergeCell ref="R10:R11"/>
    <mergeCell ref="T10:V10"/>
    <mergeCell ref="D123:G123"/>
    <mergeCell ref="H123:N123"/>
    <mergeCell ref="F9:F11"/>
    <mergeCell ref="G9:G11"/>
    <mergeCell ref="D119:M120"/>
    <mergeCell ref="K3:M3"/>
    <mergeCell ref="K2:M2"/>
    <mergeCell ref="S9:V9"/>
    <mergeCell ref="S10:S11"/>
    <mergeCell ref="P10:P11"/>
    <mergeCell ref="D5:V5"/>
    <mergeCell ref="D6:V6"/>
    <mergeCell ref="P9:R9"/>
  </mergeCells>
  <phoneticPr fontId="2" type="noConversion"/>
  <printOptions horizontalCentered="1"/>
  <pageMargins left="0.19685039370078741" right="0.19685039370078741" top="0.39370078740157483" bottom="0.39370078740157483" header="0" footer="0"/>
  <pageSetup paperSize="9" scale="57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</vt:lpstr>
      <vt:lpstr>'форма 2п'!Заголовки_для_печати</vt:lpstr>
      <vt:lpstr>'форма 2п'!Область_печати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2022-12-14T13:32:14Z</cp:lastPrinted>
  <dcterms:created xsi:type="dcterms:W3CDTF">2013-05-25T16:45:04Z</dcterms:created>
  <dcterms:modified xsi:type="dcterms:W3CDTF">2022-12-14T13:32:15Z</dcterms:modified>
</cp:coreProperties>
</file>